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Vigilante" sheetId="1" r:id="rId1"/>
    <sheet name="Uniforme" sheetId="2" r:id="rId2"/>
    <sheet name="Materiais e Equipamentos" sheetId="4" r:id="rId3"/>
    <sheet name="Resumo" sheetId="3" r:id="rId4"/>
  </sheets>
  <calcPr calcId="144525"/>
</workbook>
</file>

<file path=xl/sharedStrings.xml><?xml version="1.0" encoding="utf-8"?>
<sst xmlns="http://schemas.openxmlformats.org/spreadsheetml/2006/main" count="338" uniqueCount="210">
  <si>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</si>
  <si>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23381.004959.2021-15</t>
    </r>
  </si>
  <si>
    <t>Licitação n°</t>
  </si>
  <si>
    <t>005/2021</t>
  </si>
  <si>
    <t>Discriminação dos Serviços (Dados Referente à Contratação)</t>
  </si>
  <si>
    <t>A</t>
  </si>
  <si>
    <t>Data -  Apresentação da Proposta</t>
  </si>
  <si>
    <t>....../......./20.......</t>
  </si>
  <si>
    <t>B</t>
  </si>
  <si>
    <t>Município - ISSQN</t>
  </si>
  <si>
    <t>ISSQN 5 % (cinco por cento)</t>
  </si>
  <si>
    <t>C</t>
  </si>
  <si>
    <t>Ano Acordo, Convenção ou Dissídio Coletivo</t>
  </si>
  <si>
    <t>CCT PB000387/2020</t>
  </si>
  <si>
    <t>E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</si>
  <si>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</si>
  <si>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</si>
  <si>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</si>
  <si>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</si>
  <si>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</si>
  <si>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</si>
  <si>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</si>
  <si>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</si>
  <si>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Dados para composição dos custos referentes a mão de obra</t>
  </si>
  <si>
    <t>Item</t>
  </si>
  <si>
    <t>Descrição</t>
  </si>
  <si>
    <t>Comentário</t>
  </si>
  <si>
    <t>Valor</t>
  </si>
  <si>
    <t xml:space="preserve">Tipo de Serviço </t>
  </si>
  <si>
    <t>-</t>
  </si>
  <si>
    <t>Classificação Brasileira de Ocupações (CBO)</t>
  </si>
  <si>
    <t>MTE</t>
  </si>
  <si>
    <t>5173-30</t>
  </si>
  <si>
    <t>Salário Normativo da Categoria Profissional</t>
  </si>
  <si>
    <t>Categoria Profissional</t>
  </si>
  <si>
    <t>SINDVIG-PB</t>
  </si>
  <si>
    <t>Data-Base da Categoria</t>
  </si>
  <si>
    <t>01/MARÇO</t>
  </si>
  <si>
    <t>Módulo 1 - Composição da Remuneração</t>
  </si>
  <si>
    <t>1</t>
  </si>
  <si>
    <t>Composição da Remuneração</t>
  </si>
  <si>
    <t>Salário-Base</t>
  </si>
  <si>
    <t>Adicional de Periculosidade</t>
  </si>
  <si>
    <t>Adicional de Insalubridade</t>
  </si>
  <si>
    <t>D</t>
  </si>
  <si>
    <t>Adicional Noturno</t>
  </si>
  <si>
    <t>Adicional de Hora Noturna Reduzida</t>
  </si>
  <si>
    <t>F</t>
  </si>
  <si>
    <t>Outros (especificar)</t>
  </si>
  <si>
    <t>Total</t>
  </si>
  <si>
    <t>Módulo 2 - Encargos e Benefícios Anuais, Mensais e Diários</t>
  </si>
  <si>
    <t> Submódulo 2.1 - 13º (décimo terceiro) Salário, Férias e Adicional de Férias</t>
  </si>
  <si>
    <t>2.1</t>
  </si>
  <si>
    <t>13º (décimo terceiro) Salário, Férias e Adicional de Férias</t>
  </si>
  <si>
    <t>Percentual</t>
  </si>
  <si>
    <t>13º (décimo terceiro) Salário</t>
  </si>
  <si>
    <t>Férias e Adicional de Férias</t>
  </si>
  <si>
    <t>BASE DE CÁLCULO PARA O SUBMÓDULO 2.2</t>
  </si>
  <si>
    <t>MÓDULO 1</t>
  </si>
  <si>
    <t>MÓDULO 2.1</t>
  </si>
  <si>
    <t>TOTAL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</si>
  <si>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</si>
  <si>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</si>
  <si>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</si>
  <si>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</si>
  <si>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</si>
  <si>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</si>
  <si>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 (+FAP de 0,5 a 2,0) (Variação: 0,5% a 6 %)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</si>
  <si>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</si>
  <si>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</si>
  <si>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</si>
  <si>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</si>
  <si>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</si>
  <si>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</si>
  <si>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</si>
  <si>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</si>
  <si>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</si>
  <si>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</si>
  <si>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</si>
  <si>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</si>
  <si>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</si>
  <si>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</si>
  <si>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</si>
  <si>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</si>
  <si>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</si>
  <si>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</si>
  <si>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</si>
  <si>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</si>
  <si>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</si>
  <si>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</si>
  <si>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</si>
  <si>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</si>
  <si>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</si>
  <si>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</si>
  <si>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</si>
  <si>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</si>
  <si>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BASE DE CÁLCULO PARA O MÓDULO 4</t>
  </si>
  <si>
    <t>MÓDULO 2</t>
  </si>
  <si>
    <t>MÓDULO 3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</si>
  <si>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</si>
  <si>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</si>
  <si>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</si>
  <si>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</si>
  <si>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Substituto na cobertura de 13º (décimo terceiro) Salário, Férias e Adicional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</si>
  <si>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</si>
  <si>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</si>
  <si>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</si>
  <si>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</si>
  <si>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</si>
  <si>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</si>
  <si>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</si>
  <si>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 </t>
  </si>
  <si>
    <t>Substituto na cobertura de Intervalo para repouso ou alimentação</t>
  </si>
  <si>
    <t>*Nota: APLICÁVEL, APENAS, PARA quando o TITULAR do posto USUFRUIR do descanso intrajornada e o posto de trabalho NÃO PUDER FICAR DESCOBERTO</t>
  </si>
  <si>
    <t>*=TRUNCAR(($D$86/220)*(1*(365/12))/2)</t>
  </si>
  <si>
    <t>Quadro-Resumo do Módulo 4 - Custo de Reposição do Profissional Ausente</t>
  </si>
  <si>
    <t>4</t>
  </si>
  <si>
    <t>Custo de Reposição do Profissional Ausente</t>
  </si>
  <si>
    <t>Substituto na Intrajornada</t>
  </si>
  <si>
    <t>*Nota: Se o titular USUFRUIR do descanso intrajornada, o total é o somatório dos subitens 4.1 e 4.2</t>
  </si>
  <si>
    <t>Módulo 5 - Insumos Diversos</t>
  </si>
  <si>
    <t>5</t>
  </si>
  <si>
    <t>Insumos Diversos</t>
  </si>
  <si>
    <t>Uniformes e Equipamento de Proteção Individual - EPI</t>
  </si>
  <si>
    <t>Equipamentos de Proteção Coletiva - EPC</t>
  </si>
  <si>
    <t>Materiais</t>
  </si>
  <si>
    <t>Equipamentos</t>
  </si>
  <si>
    <t>Diárias</t>
  </si>
  <si>
    <t>BASE DE CÁLCULO PARA O MÓDULO 6</t>
  </si>
  <si>
    <t>MÓDULO 4</t>
  </si>
  <si>
    <t>MÓDULO 5</t>
  </si>
  <si>
    <t>Módulo 6 - Custos Indiretos, Tributos e Lucro</t>
  </si>
  <si>
    <t>6</t>
  </si>
  <si>
    <t>Custos Indiretos, Tributos e Lucro</t>
  </si>
  <si>
    <t>CÁLCULO POR DENTRO</t>
  </si>
  <si>
    <t>Custos Indiretos</t>
  </si>
  <si>
    <t>TOTAL DOS TRIBUTOS</t>
  </si>
  <si>
    <t>Lucro</t>
  </si>
  <si>
    <t>BASE DE CÁLCULO</t>
  </si>
  <si>
    <t>Tributos</t>
  </si>
  <si>
    <t>ÍNDICE</t>
  </si>
  <si>
    <t>C.1 - PIS</t>
  </si>
  <si>
    <t>C.2 - COFINS</t>
  </si>
  <si>
    <t>C.3 - ISS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</si>
  <si>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</si>
  <si>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</si>
  <si>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</si>
  <si>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</si>
  <si>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</si>
  <si>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</si>
  <si>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</si>
  <si>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</si>
  <si>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</si>
  <si>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</si>
  <si>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</si>
  <si>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</si>
  <si>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</si>
  <si>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</si>
  <si>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</si>
  <si>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</si>
  <si>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</si>
  <si>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Calça, TIPO SOCIAL, com presilhas para cinto, em cor escura, em tecido Oxford, com cortes adequados a cada profissional, masculino ou feminino.</t>
  </si>
  <si>
    <t>Unidade</t>
  </si>
  <si>
    <t>JAPONA / JAQUETA</t>
  </si>
  <si>
    <t>Japona /Jaqueta,em tecido Oxford, na cor preta ou usual da empresa,  forrada e impermeável; deve possuir a logomarca da empresa em tamanho e local visíveis (no peito, à esquerda).</t>
  </si>
  <si>
    <t>CAMISA</t>
  </si>
  <si>
    <t>Camisa, TIPO SOCIAL, em tecido Oxford, em cor clara, mangas curtas, com cortes adequados a cada proﬁssional, masculino ou feminino, deve possuir, ainda, a logomarca da empresa em tamanho e local visíveis (no peito, à Esquerda)</t>
  </si>
  <si>
    <t>COTURNO</t>
  </si>
  <si>
    <t>Coturno de couro integral com tratamento hidrofugado resistente a penetração de água.Manta de isolamento térmico e áreas de articulação e conforto em cordura e courovestuário. Proteção de borracha em toda extremidade.</t>
  </si>
  <si>
    <t>Par</t>
  </si>
  <si>
    <t>CINTO</t>
  </si>
  <si>
    <t>Cinto, em couro, ou em tecido 100% lã, constituído de uma face na cor preta, sem costura, fivela em metal, com garra regulável.</t>
  </si>
  <si>
    <t>MEIA</t>
  </si>
  <si>
    <t>Meia, modelo cano alto , composição: 88% Algodão, 2% Lycra e 10% Poliamida, na cor preta.</t>
  </si>
  <si>
    <t>CAPA PARA CHUVA</t>
  </si>
  <si>
    <t>Capa para chuva, em material plástico, cor preta com faixas fluorescentes.</t>
  </si>
  <si>
    <t>CRACHÁ</t>
  </si>
  <si>
    <t xml:space="preserve"> Crachá de identiﬁcação, em plástico rígido, contendo logomarca da empresa, foto e nome completo do funcionário.</t>
  </si>
  <si>
    <t>Peça</t>
  </si>
  <si>
    <t>Valor Médio Unitário (R$)</t>
  </si>
  <si>
    <t>Quantidade Anual</t>
  </si>
  <si>
    <t>Valor Anual/ Empregado (R$)</t>
  </si>
  <si>
    <t>Valor Mensal/ Empregado (R$)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</si>
  <si>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</si>
  <si>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</si>
  <si>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</si>
  <si>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</si>
  <si>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</si>
  <si>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</si>
  <si>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Valor Médio Unitário</t>
  </si>
  <si>
    <t>Quantidade</t>
  </si>
  <si>
    <t>Valor Total (R$)</t>
  </si>
  <si>
    <t>Revólver calibre 38</t>
  </si>
  <si>
    <t>UND</t>
  </si>
  <si>
    <t>Coldre alongado, giratório,  em couro para revólver calibre 38 com passador para cinto com retenção</t>
  </si>
  <si>
    <t>Baleiro (Porta baleiro) em couro com passador para cinto</t>
  </si>
  <si>
    <t>Lanterna recarregável</t>
  </si>
  <si>
    <t>Colete balístico - nível mínimo de segurança II-A</t>
  </si>
  <si>
    <t>Capa para colete balístico</t>
  </si>
  <si>
    <t>Munição calibre 38 (ou outro legalmente permitido para a função a ser desempenhada) - Blister com 10 (dez) unidades</t>
  </si>
  <si>
    <t>Manutenção mensal</t>
  </si>
  <si>
    <t>Depreciação mensal</t>
  </si>
  <si>
    <t>Custo Total dos equipamentos (Manutenção + Depreciação)</t>
  </si>
  <si>
    <r>
      <rPr>
        <b/>
        <sz val="11"/>
        <color theme="1"/>
        <rFont val="Calibri"/>
        <charset val="134"/>
        <scheme val="minor"/>
      </rPr>
      <t>Manutenção de Equipamentos</t>
    </r>
    <r>
      <rPr>
        <sz val="11"/>
        <color theme="1"/>
        <rFont val="Calibri"/>
        <charset val="134"/>
        <scheme val="minor"/>
      </rPr>
      <t xml:space="preserve">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Valor total dos equipamentos (ANEXO IV) x 0,5% a.m.;
</t>
    </r>
    <r>
      <rPr>
        <b/>
        <sz val="11"/>
        <color theme="1"/>
        <rFont val="Calibri"/>
        <charset val="134"/>
        <scheme val="minor"/>
      </rPr>
      <t>Depreciação de Equipamentos:</t>
    </r>
    <r>
      <rPr>
        <sz val="11"/>
        <color theme="1"/>
        <rFont val="Calibri"/>
        <charset val="134"/>
        <scheme val="minor"/>
      </rPr>
      <t xml:space="preserve"> Para o cálculo do insumo Depreciação de Equipamentos, adotou-se vida útil de 8 anos e valor residual de 20%, com base no Manual de Custos Rodoviários do DNIT, volume 1, de 2003.
Depreciação Mensal = [Valor total dos equipamentos x (1,00-0,20)]/(12x8);</t>
    </r>
  </si>
  <si>
    <t>PLANILHA RESUMO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</si>
  <si>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</si>
  <si>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</si>
  <si>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</si>
  <si>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>, em jornada de 12 (doze) horas NOTURNAS, de segunda-feira a domingo, envolvendo 2 (dois) vigilantes em turnos de 12 (doze) x 36 (trinta e seis) horas.</t>
    </r>
  </si>
  <si>
    <t>POSTO</t>
  </si>
</sst>
</file>

<file path=xl/styles.xml><?xml version="1.0" encoding="utf-8"?>
<styleSheet xmlns="http://schemas.openxmlformats.org/spreadsheetml/2006/main">
  <numFmts count="11">
    <numFmt numFmtId="176" formatCode="&quot;R$ &quot;#,##0.00"/>
    <numFmt numFmtId="177" formatCode="_-* #,##0_-;\-* #,##0_-;_-* &quot;-&quot;_-;_-@_-"/>
    <numFmt numFmtId="178" formatCode="_-* #,##0.00_-;\-* #,##0.00_-;_-* &quot;-&quot;??_-;_-@_-"/>
    <numFmt numFmtId="179" formatCode="_-&quot;R$&quot;\ * #,##0_-;\-&quot;R$&quot;\ * #,##0_-;_-&quot;R$&quot;\ * &quot;-&quot;_-;_-@_-"/>
    <numFmt numFmtId="180" formatCode="&quot;R$&quot;\ #,##0.00"/>
    <numFmt numFmtId="181" formatCode="&quot;R$&quot;\ #,##0.00_);[Red]\(&quot;R$&quot;\ #,##0.00\)"/>
    <numFmt numFmtId="182" formatCode="_-&quot;R$&quot;\ * #,##0.00_-;\-&quot;R$&quot;\ * #,##0.00_-;_-&quot;R$&quot;\ * &quot;-&quot;??_-;_-@_-"/>
    <numFmt numFmtId="183" formatCode="&quot;R$&quot;#,##0.00_);[Red]\(&quot;R$&quot;#,##0.00\)"/>
    <numFmt numFmtId="184" formatCode="&quot;R$&quot;#,##0.00_);[Red]&quot;(R$&quot;#,##0.00\)"/>
    <numFmt numFmtId="185" formatCode="0.0000_ "/>
    <numFmt numFmtId="186" formatCode="0.00_ "/>
  </numFmts>
  <fonts count="42">
    <font>
      <sz val="10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sz val="1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00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color rgb="FF000000"/>
      <name val="Calibri"/>
      <charset val="134"/>
    </font>
  </fonts>
  <fills count="47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2" fillId="16" borderId="20" applyNumberFormat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0" fillId="28" borderId="22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32" borderId="26" applyNumberFormat="0" applyAlignment="0" applyProtection="0">
      <alignment vertical="center"/>
    </xf>
    <xf numFmtId="0" fontId="37" fillId="33" borderId="27" applyNumberFormat="0" applyAlignment="0" applyProtection="0">
      <alignment vertical="center"/>
    </xf>
    <xf numFmtId="0" fontId="39" fillId="33" borderId="26" applyNumberFormat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vertical="center" wrapText="1"/>
    </xf>
    <xf numFmtId="18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 vertical="center" wrapText="1"/>
    </xf>
    <xf numFmtId="180" fontId="2" fillId="3" borderId="0" xfId="0" applyNumberFormat="1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0" fontId="2" fillId="4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180" fontId="3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180" fontId="3" fillId="0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180" fontId="7" fillId="6" borderId="7" xfId="0" applyNumberFormat="1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180" fontId="7" fillId="6" borderId="8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8" fillId="6" borderId="0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center"/>
    </xf>
    <xf numFmtId="0" fontId="9" fillId="7" borderId="0" xfId="0" applyFont="1" applyFill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justify" wrapText="1"/>
    </xf>
    <xf numFmtId="183" fontId="11" fillId="9" borderId="0" xfId="0" applyNumberFormat="1" applyFont="1" applyFill="1" applyAlignment="1">
      <alignment horizontal="center" vertical="center" wrapText="1"/>
    </xf>
    <xf numFmtId="183" fontId="11" fillId="0" borderId="0" xfId="0" applyNumberFormat="1" applyFont="1" applyFill="1" applyAlignment="1">
      <alignment horizontal="center" vertical="center" wrapText="1"/>
    </xf>
    <xf numFmtId="0" fontId="14" fillId="10" borderId="0" xfId="0" applyFont="1" applyFill="1" applyAlignment="1">
      <alignment horizontal="center"/>
    </xf>
    <xf numFmtId="183" fontId="14" fillId="10" borderId="0" xfId="0" applyNumberFormat="1" applyFont="1" applyFill="1" applyAlignment="1">
      <alignment horizontal="center"/>
    </xf>
    <xf numFmtId="0" fontId="15" fillId="0" borderId="0" xfId="0" applyFont="1" applyFill="1" applyAlignment="1"/>
    <xf numFmtId="0" fontId="16" fillId="11" borderId="9" xfId="0" applyFont="1" applyFill="1" applyBorder="1" applyAlignment="1">
      <alignment horizontal="center"/>
    </xf>
    <xf numFmtId="0" fontId="10" fillId="12" borderId="10" xfId="0" applyFont="1" applyFill="1" applyBorder="1" applyAlignment="1">
      <alignment horizontal="left" wrapText="1"/>
    </xf>
    <xf numFmtId="0" fontId="10" fillId="13" borderId="0" xfId="0" applyFont="1" applyFill="1" applyBorder="1" applyAlignment="1">
      <alignment horizontal="left" wrapText="1"/>
    </xf>
    <xf numFmtId="49" fontId="15" fillId="13" borderId="0" xfId="0" applyNumberFormat="1" applyFont="1" applyFill="1" applyBorder="1" applyAlignment="1">
      <alignment horizontal="left"/>
    </xf>
    <xf numFmtId="0" fontId="15" fillId="13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17" fillId="11" borderId="11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5" fillId="12" borderId="13" xfId="0" applyFont="1" applyFill="1" applyBorder="1" applyAlignment="1"/>
    <xf numFmtId="0" fontId="15" fillId="14" borderId="13" xfId="0" applyFont="1" applyFill="1" applyBorder="1" applyAlignment="1">
      <alignment horizontal="center"/>
    </xf>
    <xf numFmtId="0" fontId="15" fillId="15" borderId="14" xfId="0" applyFont="1" applyFill="1" applyBorder="1" applyAlignment="1">
      <alignment horizontal="center"/>
    </xf>
    <xf numFmtId="0" fontId="15" fillId="15" borderId="15" xfId="0" applyFont="1" applyFill="1" applyBorder="1" applyAlignment="1"/>
    <xf numFmtId="0" fontId="15" fillId="14" borderId="15" xfId="0" applyFont="1" applyFill="1" applyBorder="1" applyAlignment="1">
      <alignment horizontal="center"/>
    </xf>
    <xf numFmtId="0" fontId="15" fillId="12" borderId="14" xfId="0" applyFont="1" applyFill="1" applyBorder="1" applyAlignment="1">
      <alignment horizontal="center"/>
    </xf>
    <xf numFmtId="0" fontId="15" fillId="12" borderId="15" xfId="0" applyFont="1" applyFill="1" applyBorder="1" applyAlignment="1"/>
    <xf numFmtId="0" fontId="17" fillId="11" borderId="9" xfId="0" applyFont="1" applyFill="1" applyBorder="1" applyAlignment="1">
      <alignment horizontal="center"/>
    </xf>
    <xf numFmtId="0" fontId="17" fillId="11" borderId="16" xfId="0" applyFont="1" applyFill="1" applyBorder="1" applyAlignment="1">
      <alignment horizontal="center" wrapText="1"/>
    </xf>
    <xf numFmtId="0" fontId="17" fillId="11" borderId="17" xfId="0" applyFont="1" applyFill="1" applyBorder="1" applyAlignment="1">
      <alignment horizontal="center"/>
    </xf>
    <xf numFmtId="0" fontId="15" fillId="12" borderId="15" xfId="0" applyFont="1" applyFill="1" applyBorder="1" applyAlignment="1">
      <alignment horizontal="center"/>
    </xf>
    <xf numFmtId="0" fontId="15" fillId="14" borderId="18" xfId="0" applyFont="1" applyFill="1" applyBorder="1" applyAlignment="1">
      <alignment horizontal="center"/>
    </xf>
    <xf numFmtId="0" fontId="15" fillId="15" borderId="15" xfId="0" applyFont="1" applyFill="1" applyBorder="1" applyAlignment="1">
      <alignment horizontal="center"/>
    </xf>
    <xf numFmtId="176" fontId="15" fillId="14" borderId="18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5" fillId="14" borderId="0" xfId="0" applyFont="1" applyFill="1" applyAlignment="1">
      <alignment horizontal="center"/>
    </xf>
    <xf numFmtId="0" fontId="18" fillId="0" borderId="0" xfId="0" applyFont="1" applyFill="1" applyAlignment="1"/>
    <xf numFmtId="176" fontId="15" fillId="14" borderId="0" xfId="0" applyNumberFormat="1" applyFont="1" applyFill="1" applyAlignment="1">
      <alignment horizontal="center"/>
    </xf>
    <xf numFmtId="0" fontId="15" fillId="14" borderId="0" xfId="0" applyFont="1" applyFill="1" applyAlignment="1">
      <alignment horizontal="center"/>
    </xf>
    <xf numFmtId="49" fontId="15" fillId="14" borderId="0" xfId="0" applyNumberFormat="1" applyFont="1" applyFill="1" applyAlignment="1">
      <alignment horizontal="center"/>
    </xf>
    <xf numFmtId="0" fontId="15" fillId="0" borderId="0" xfId="0" applyFont="1" applyFill="1" applyAlignment="1"/>
    <xf numFmtId="10" fontId="15" fillId="0" borderId="0" xfId="0" applyNumberFormat="1" applyFont="1" applyFill="1" applyAlignment="1"/>
    <xf numFmtId="176" fontId="15" fillId="0" borderId="0" xfId="0" applyNumberFormat="1" applyFont="1" applyFill="1" applyAlignment="1">
      <alignment horizontal="center"/>
    </xf>
    <xf numFmtId="0" fontId="17" fillId="11" borderId="0" xfId="0" applyFont="1" applyFill="1" applyBorder="1" applyAlignment="1">
      <alignment horizontal="center"/>
    </xf>
    <xf numFmtId="10" fontId="15" fillId="0" borderId="0" xfId="4" applyNumberFormat="1" applyFont="1" applyFill="1" applyBorder="1" applyAlignment="1" applyProtection="1">
      <alignment horizontal="center"/>
    </xf>
    <xf numFmtId="0" fontId="17" fillId="11" borderId="0" xfId="0" applyFont="1" applyFill="1" applyBorder="1" applyAlignment="1">
      <alignment horizontal="center" vertical="center"/>
    </xf>
    <xf numFmtId="0" fontId="10" fillId="12" borderId="13" xfId="0" applyFont="1" applyFill="1" applyBorder="1" applyAlignment="1">
      <alignment horizontal="center" vertical="center"/>
    </xf>
    <xf numFmtId="184" fontId="15" fillId="14" borderId="19" xfId="0" applyNumberFormat="1" applyFont="1" applyFill="1" applyBorder="1" applyAlignment="1">
      <alignment horizontal="center" vertical="center"/>
    </xf>
    <xf numFmtId="0" fontId="10" fillId="15" borderId="19" xfId="0" applyFont="1" applyFill="1" applyBorder="1" applyAlignment="1">
      <alignment horizontal="center" vertical="center"/>
    </xf>
    <xf numFmtId="184" fontId="10" fillId="14" borderId="19" xfId="0" applyNumberFormat="1" applyFont="1" applyFill="1" applyBorder="1" applyAlignment="1">
      <alignment horizontal="center" vertical="center"/>
    </xf>
    <xf numFmtId="10" fontId="15" fillId="0" borderId="0" xfId="0" applyNumberFormat="1" applyFont="1" applyFill="1" applyAlignment="1">
      <alignment horizontal="center"/>
    </xf>
    <xf numFmtId="181" fontId="15" fillId="0" borderId="0" xfId="0" applyNumberFormat="1" applyFont="1" applyFill="1" applyAlignment="1">
      <alignment horizontal="center" vertical="center"/>
    </xf>
    <xf numFmtId="10" fontId="15" fillId="14" borderId="0" xfId="4" applyNumberFormat="1" applyFont="1" applyFill="1" applyBorder="1" applyAlignment="1" applyProtection="1">
      <alignment horizontal="center"/>
    </xf>
    <xf numFmtId="176" fontId="15" fillId="14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176" fontId="15" fillId="14" borderId="0" xfId="0" applyNumberFormat="1" applyFont="1" applyFill="1" applyAlignment="1">
      <alignment horizontal="center" vertical="center"/>
    </xf>
    <xf numFmtId="176" fontId="15" fillId="0" borderId="0" xfId="0" applyNumberFormat="1" applyFont="1" applyFill="1" applyAlignment="1">
      <alignment horizontal="left" vertical="center"/>
    </xf>
    <xf numFmtId="10" fontId="15" fillId="0" borderId="0" xfId="4" applyNumberFormat="1" applyFont="1" applyFill="1" applyBorder="1" applyAlignment="1" applyProtection="1">
      <alignment horizontal="center" vertical="center"/>
    </xf>
    <xf numFmtId="0" fontId="15" fillId="0" borderId="0" xfId="0" applyFont="1" applyFill="1" applyAlignment="1">
      <alignment wrapText="1"/>
    </xf>
    <xf numFmtId="10" fontId="15" fillId="14" borderId="0" xfId="4" applyNumberFormat="1" applyFont="1" applyFill="1" applyBorder="1" applyAlignment="1" applyProtection="1">
      <alignment horizontal="center" vertical="center"/>
    </xf>
    <xf numFmtId="10" fontId="15" fillId="9" borderId="0" xfId="4" applyNumberFormat="1" applyFont="1" applyFill="1" applyBorder="1" applyAlignment="1" applyProtection="1">
      <alignment horizontal="center" vertical="center"/>
    </xf>
    <xf numFmtId="176" fontId="15" fillId="9" borderId="0" xfId="0" applyNumberFormat="1" applyFont="1" applyFill="1" applyAlignment="1">
      <alignment horizontal="center"/>
    </xf>
    <xf numFmtId="0" fontId="17" fillId="11" borderId="0" xfId="0" applyFont="1" applyFill="1" applyBorder="1" applyAlignment="1">
      <alignment horizontal="center" wrapText="1"/>
    </xf>
    <xf numFmtId="186" fontId="15" fillId="14" borderId="0" xfId="0" applyNumberFormat="1" applyFont="1" applyFill="1" applyAlignment="1">
      <alignment horizontal="center"/>
    </xf>
    <xf numFmtId="0" fontId="15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176" fontId="19" fillId="0" borderId="0" xfId="0" applyNumberFormat="1" applyFont="1" applyFill="1" applyAlignment="1">
      <alignment vertical="center"/>
    </xf>
    <xf numFmtId="176" fontId="19" fillId="0" borderId="0" xfId="0" applyNumberFormat="1" applyFont="1" applyFill="1" applyAlignment="1">
      <alignment horizontal="center"/>
    </xf>
    <xf numFmtId="176" fontId="20" fillId="14" borderId="0" xfId="0" applyNumberFormat="1" applyFont="1" applyFill="1" applyAlignment="1">
      <alignment horizontal="center"/>
    </xf>
    <xf numFmtId="176" fontId="15" fillId="0" borderId="0" xfId="0" applyNumberFormat="1" applyFont="1" applyFill="1" applyAlignment="1">
      <alignment horizontal="center" vertical="center"/>
    </xf>
    <xf numFmtId="176" fontId="11" fillId="14" borderId="0" xfId="0" applyNumberFormat="1" applyFont="1" applyFill="1" applyAlignment="1">
      <alignment horizontal="center"/>
    </xf>
    <xf numFmtId="0" fontId="17" fillId="11" borderId="17" xfId="0" applyFont="1" applyFill="1" applyBorder="1" applyAlignment="1">
      <alignment horizontal="center" vertical="center"/>
    </xf>
    <xf numFmtId="10" fontId="11" fillId="14" borderId="0" xfId="4" applyNumberFormat="1" applyFont="1" applyFill="1" applyBorder="1" applyAlignment="1" applyProtection="1">
      <alignment horizontal="center"/>
    </xf>
    <xf numFmtId="0" fontId="15" fillId="12" borderId="13" xfId="0" applyFont="1" applyFill="1" applyBorder="1" applyAlignment="1">
      <alignment horizontal="left" vertical="center"/>
    </xf>
    <xf numFmtId="0" fontId="15" fillId="15" borderId="19" xfId="0" applyFont="1" applyFill="1" applyBorder="1" applyAlignment="1">
      <alignment horizontal="left" vertical="center"/>
    </xf>
    <xf numFmtId="184" fontId="15" fillId="14" borderId="0" xfId="0" applyNumberFormat="1" applyFont="1" applyFill="1" applyAlignment="1"/>
    <xf numFmtId="185" fontId="15" fillId="14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right"/>
    </xf>
    <xf numFmtId="0" fontId="21" fillId="11" borderId="0" xfId="0" applyFont="1" applyFill="1" applyAlignment="1"/>
    <xf numFmtId="0" fontId="17" fillId="11" borderId="0" xfId="0" applyFont="1" applyFill="1" applyAlignment="1">
      <alignment horizontal="center" vertical="center"/>
    </xf>
    <xf numFmtId="176" fontId="17" fillId="11" borderId="0" xfId="0" applyNumberFormat="1" applyFont="1" applyFill="1" applyAlignment="1">
      <alignment horizontal="center"/>
    </xf>
    <xf numFmtId="0" fontId="21" fillId="11" borderId="0" xfId="0" applyFont="1" applyFill="1" applyAlignment="1">
      <alignment wrapText="1"/>
    </xf>
    <xf numFmtId="0" fontId="17" fillId="11" borderId="0" xfId="0" applyFont="1" applyFill="1" applyAlignment="1">
      <alignment horizontal="center" vertical="center" wrapText="1"/>
    </xf>
    <xf numFmtId="176" fontId="17" fillId="11" borderId="0" xfId="0" applyNumberFormat="1" applyFont="1" applyFill="1" applyAlignment="1">
      <alignment horizontal="center" wrapText="1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7">
    <dxf>
      <alignment vertical="center"/>
    </dxf>
    <dxf>
      <alignment horizontal="justify"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Submódulo2.356_53" displayName="Submódulo2.356_53" ref="A58:D65" totalsRowCount="1">
  <autoFilter ref="A58:D64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0" name="Módulo562_58" displayName="Módulo562_58" ref="A112:D118" totalsRowCount="1">
  <autoFilter ref="A112:D117"/>
  <tableColumns count="4">
    <tableColumn id="1" name="5" totalsRowLabel="Total"/>
    <tableColumn id="2" name="Insumos Diversos"/>
    <tableColumn id="3" name="Comentário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1" name="Submódulo4.159_54" displayName="Submódulo4.159_54" ref="A91:D98" totalsRowCount="1">
  <autoFilter ref="A91:D97"/>
  <tableColumns count="4">
    <tableColumn id="1" name="4.1" totalsRowLabel="Total"/>
    <tableColumn id="2" name="Substituto nas Ausências Legais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12" name="Módulo663_59" displayName="Módulo663_59" ref="A128:D135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13" name="ResumoMódulo257_60" displayName="ResumoMódulo257_60" ref="A68:D72" totalsRowCount="1">
  <autoFilter ref="A68:D71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TRUNC((SUM(D69:D71)),2)</totalsRowFormula>
    </tableColumn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15" name="Table43_143" displayName="Table43_143" ref="A3:H11">
  <autoFilter ref="A3:H11"/>
  <tableColumns count="8">
    <tableColumn id="1" name="ITEM" totalsRowLabel="Total"/>
    <tableColumn id="2" name="PEÇA"/>
    <tableColumn id="3" name="DESCRIÇÃO"/>
    <tableColumn id="4" name="UNIDADE"/>
    <tableColumn id="5" name="VALOR MÉDIO UNITÁRIO (R$)"/>
    <tableColumn id="6" name="QUANTIDADE ANUAL"/>
    <tableColumn id="7" name="VALOR ANUAL POR EMPREGADO (R$)"/>
    <tableColumn id="8" name="VALOR MENSAL POR EMPREGADO (R$)" totalsRowFunction="sum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16" name="Table43_2" displayName="Table43_2" ref="A2:G6" totalsRowCount="1">
  <autoFilter ref="A2:G5"/>
  <tableColumns count="7">
    <tableColumn id="1" name="Item" totalsRowLabel="Total"/>
    <tableColumn id="2" name="Peça"/>
    <tableColumn id="3" name="Descrição"/>
    <tableColumn id="4" name="Valor Médio Unitário (R$)"/>
    <tableColumn id="5" name="Quantidade Anual"/>
    <tableColumn id="6" name="Valor Anual/ Empregado (R$)"/>
    <tableColumn id="7" name="Valor Mensal/ Empregado (R$)" totalsRowFunction="sum"/>
  </tableColumns>
  <tableStyleInfo name="TableStyleMedium14" showFirstColumn="0" showLastColumn="0" showRowStripes="1" showColumnStripes="0"/>
</table>
</file>

<file path=xl/tables/table16.xml><?xml version="1.0" encoding="utf-8"?>
<table xmlns="http://schemas.openxmlformats.org/spreadsheetml/2006/main" id="17" name="Table44" displayName="Table44" ref="A10:F18" totalsRowCount="1">
  <autoFilter ref="A10:F17"/>
  <tableColumns count="6">
    <tableColumn id="1" name="Item" totalsRowLabel="Total" dataDxfId="0"/>
    <tableColumn id="2" name="Descrição" dataDxfId="1"/>
    <tableColumn id="3" name="Unidade" dataDxfId="2"/>
    <tableColumn id="4" name="Valor Médio Unitário" dataDxfId="3"/>
    <tableColumn id="5" name="Quantidade" dataDxfId="4"/>
    <tableColumn id="6" name="Valor Total (R$)" totalsRowFunction="sum" dataDxfId="5"/>
  </tableColumns>
  <tableStyleInfo name="TableStyleMedium14" showFirstColumn="0" showLastColumn="0" showRowStripes="1" showColumnStripes="0"/>
</table>
</file>

<file path=xl/tables/table17.xml><?xml version="1.0" encoding="utf-8"?>
<table xmlns="http://schemas.openxmlformats.org/spreadsheetml/2006/main" id="14" name="Table39" displayName="Table39" ref="A2:G4" totalsRowCount="1">
  <tableColumns count="7">
    <tableColumn id="1" name="Item" totalsRowLabel="TOTAL" dataDxfId="6"/>
    <tableColumn id="2" name="Descrição"/>
    <tableColumn id="3" name="Unidade"/>
    <tableColumn id="4" name="Quantidade"/>
    <tableColumn id="5" name="VIGÊNCIA (Mês)"/>
    <tableColumn id="6" name="VALOR UNITÁRIO MÁXIMO ACEITÁVEL"/>
    <tableColumn id="7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2" name="Submódulo2.255_63" displayName="Submódulo2.255_63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Módulo153_52" displayName="Módulo153_52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ResumoPosto64_64" displayName="ResumoPosto64_64" ref="A139:D148" totalsRowShown="0">
  <autoFilter ref="A139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5" name="Submódulo2.154_61" displayName="Submódulo2.154_61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6" name="ResumoMódulo461_62" displayName="ResumoMódulo461_62" ref="A106:D109" totalsRowCount="1">
  <autoFilter ref="A106:D108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7" name="Submódulo4.260_55" displayName="Submódulo4.260_55" ref="A101:D103" totalsRowCount="1">
  <autoFilter ref="A101:D102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8" name="Table452_56" displayName="Table452_56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9" name="Módulo358_57" displayName="Módulo358_57" ref="A75:D82" totalsRowCount="1">
  <autoFilter ref="A75:D81"/>
  <tableColumns count="4">
    <tableColumn id="1" name="3" totalsRowLabel="Total"/>
    <tableColumn id="2" name="Provisão para Rescisão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.xml"/><Relationship Id="rId8" Type="http://schemas.openxmlformats.org/officeDocument/2006/relationships/table" Target="../tables/table8.xml"/><Relationship Id="rId7" Type="http://schemas.openxmlformats.org/officeDocument/2006/relationships/table" Target="../tables/table7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3" Type="http://schemas.openxmlformats.org/officeDocument/2006/relationships/table" Target="../tables/table13.xml"/><Relationship Id="rId12" Type="http://schemas.openxmlformats.org/officeDocument/2006/relationships/table" Target="../tables/table12.xml"/><Relationship Id="rId11" Type="http://schemas.openxmlformats.org/officeDocument/2006/relationships/table" Target="../tables/table11.xml"/><Relationship Id="rId10" Type="http://schemas.openxmlformats.org/officeDocument/2006/relationships/table" Target="../tables/table10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table" Target="../tables/table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8"/>
  <sheetViews>
    <sheetView tabSelected="1" zoomScaleSheetLayoutView="60" workbookViewId="0">
      <selection activeCell="F139" sqref="F139"/>
    </sheetView>
  </sheetViews>
  <sheetFormatPr defaultColWidth="10.2857142857143" defaultRowHeight="12.75" outlineLevelCol="6"/>
  <cols>
    <col min="1" max="1" width="11" customWidth="1"/>
    <col min="2" max="2" width="50.7142857142857" customWidth="1"/>
    <col min="3" max="3" width="36.2857142857143" customWidth="1"/>
    <col min="4" max="4" width="37.7142857142857" customWidth="1"/>
    <col min="6" max="6" width="22.8571428571429" customWidth="1"/>
    <col min="7" max="7" width="11.4285714285714" customWidth="1"/>
  </cols>
  <sheetData>
    <row r="1" ht="15" spans="1:7">
      <c r="A1" s="51"/>
      <c r="B1" s="51"/>
      <c r="C1" s="51"/>
      <c r="D1" s="51"/>
      <c r="E1" s="51"/>
      <c r="F1" s="51"/>
      <c r="G1" s="51"/>
    </row>
    <row r="2" ht="19.5" spans="1:7">
      <c r="A2" s="52" t="s">
        <v>0</v>
      </c>
      <c r="B2" s="52"/>
      <c r="C2" s="52"/>
      <c r="D2" s="52"/>
      <c r="E2" s="51"/>
      <c r="F2" s="51"/>
      <c r="G2" s="51"/>
    </row>
    <row r="3" ht="15.75" spans="1:7">
      <c r="A3" s="53" t="s">
        <v>1</v>
      </c>
      <c r="B3" s="53"/>
      <c r="C3" s="53"/>
      <c r="D3" s="53"/>
      <c r="E3" s="51"/>
      <c r="F3" s="51"/>
      <c r="G3" s="51"/>
    </row>
    <row r="4" ht="15" spans="1:7">
      <c r="A4" s="54" t="s">
        <v>2</v>
      </c>
      <c r="B4" s="55" t="s">
        <v>3</v>
      </c>
      <c r="C4" s="56"/>
      <c r="D4" s="56"/>
      <c r="E4" s="51"/>
      <c r="F4" s="51"/>
      <c r="G4" s="51"/>
    </row>
    <row r="5" ht="15" spans="1:7">
      <c r="A5" s="57"/>
      <c r="B5" s="58"/>
      <c r="C5" s="58"/>
      <c r="D5" s="58"/>
      <c r="E5" s="51"/>
      <c r="F5" s="51"/>
      <c r="G5" s="51"/>
    </row>
    <row r="6" ht="15.75" spans="1:7">
      <c r="A6" s="59" t="s">
        <v>4</v>
      </c>
      <c r="B6" s="59"/>
      <c r="C6" s="59"/>
      <c r="D6" s="59"/>
      <c r="E6" s="51"/>
      <c r="F6" s="51"/>
      <c r="G6" s="51"/>
    </row>
    <row r="7" ht="15.75" spans="1:7">
      <c r="A7" s="60" t="s">
        <v>5</v>
      </c>
      <c r="B7" s="61" t="s">
        <v>6</v>
      </c>
      <c r="C7" s="62" t="s">
        <v>7</v>
      </c>
      <c r="D7" s="62"/>
      <c r="E7" s="51"/>
      <c r="F7" s="51"/>
      <c r="G7" s="51"/>
    </row>
    <row r="8" ht="15" spans="1:7">
      <c r="A8" s="63" t="s">
        <v>8</v>
      </c>
      <c r="B8" s="64" t="s">
        <v>9</v>
      </c>
      <c r="C8" s="65" t="s">
        <v>10</v>
      </c>
      <c r="D8" s="65"/>
      <c r="E8" s="51"/>
      <c r="F8" s="51"/>
      <c r="G8" s="51"/>
    </row>
    <row r="9" ht="15" spans="1:7">
      <c r="A9" s="66" t="s">
        <v>11</v>
      </c>
      <c r="B9" s="67" t="s">
        <v>12</v>
      </c>
      <c r="C9" s="65" t="s">
        <v>13</v>
      </c>
      <c r="D9" s="65"/>
      <c r="E9" s="51"/>
      <c r="F9" s="51"/>
      <c r="G9" s="51"/>
    </row>
    <row r="10" ht="15" spans="1:7">
      <c r="A10" s="63" t="s">
        <v>14</v>
      </c>
      <c r="B10" s="64" t="s">
        <v>15</v>
      </c>
      <c r="C10" s="65" t="s">
        <v>16</v>
      </c>
      <c r="D10" s="65"/>
      <c r="E10" s="51"/>
      <c r="F10" s="51"/>
      <c r="G10" s="51"/>
    </row>
    <row r="11" ht="15.75" spans="1:7">
      <c r="A11" s="68" t="s">
        <v>17</v>
      </c>
      <c r="B11" s="68"/>
      <c r="C11" s="68"/>
      <c r="D11" s="68"/>
      <c r="E11" s="51"/>
      <c r="F11" s="51"/>
      <c r="G11" s="51"/>
    </row>
    <row r="12" ht="16.5" spans="1:7">
      <c r="A12" s="69" t="s">
        <v>18</v>
      </c>
      <c r="B12" s="69"/>
      <c r="C12" s="68" t="s">
        <v>19</v>
      </c>
      <c r="D12" s="70" t="s">
        <v>20</v>
      </c>
      <c r="E12" s="51"/>
      <c r="F12" s="51"/>
      <c r="G12" s="51"/>
    </row>
    <row r="13" ht="15.75" spans="1:7">
      <c r="A13" s="71" t="s">
        <v>21</v>
      </c>
      <c r="B13" s="71"/>
      <c r="C13" s="65" t="s">
        <v>22</v>
      </c>
      <c r="D13" s="72">
        <f>Resumo!D3</f>
        <v>1</v>
      </c>
      <c r="E13" s="51"/>
      <c r="F13" s="51"/>
      <c r="G13" s="51"/>
    </row>
    <row r="14" ht="15" spans="1:7">
      <c r="A14" s="73"/>
      <c r="B14" s="73"/>
      <c r="C14" s="65"/>
      <c r="D14" s="74"/>
      <c r="E14" s="51"/>
      <c r="F14" s="51"/>
      <c r="G14" s="51"/>
    </row>
    <row r="15" ht="15.75" spans="1:7">
      <c r="A15" s="68" t="s">
        <v>23</v>
      </c>
      <c r="B15" s="68"/>
      <c r="C15" s="68"/>
      <c r="D15" s="68"/>
      <c r="E15" s="51"/>
      <c r="F15" s="75"/>
      <c r="G15" s="75"/>
    </row>
    <row r="16" ht="15.75" spans="1:7">
      <c r="A16" s="76" t="s">
        <v>24</v>
      </c>
      <c r="B16" s="51" t="s">
        <v>25</v>
      </c>
      <c r="C16" s="76" t="s">
        <v>26</v>
      </c>
      <c r="D16" s="76" t="s">
        <v>27</v>
      </c>
      <c r="E16" s="51"/>
      <c r="F16" s="51"/>
      <c r="G16" s="51"/>
    </row>
    <row r="17" ht="15" spans="1:7">
      <c r="A17" s="76">
        <v>1</v>
      </c>
      <c r="B17" s="51" t="s">
        <v>28</v>
      </c>
      <c r="C17" s="77" t="s">
        <v>29</v>
      </c>
      <c r="D17" s="77" t="str">
        <f>A13</f>
        <v>Vigilante</v>
      </c>
      <c r="E17" s="51"/>
      <c r="F17" s="78"/>
      <c r="G17" s="51"/>
    </row>
    <row r="18" ht="15" spans="1:7">
      <c r="A18" s="76">
        <v>2</v>
      </c>
      <c r="B18" s="51" t="s">
        <v>30</v>
      </c>
      <c r="C18" s="77" t="s">
        <v>31</v>
      </c>
      <c r="D18" s="77" t="s">
        <v>32</v>
      </c>
      <c r="E18" s="51"/>
      <c r="F18" s="51"/>
      <c r="G18" s="51"/>
    </row>
    <row r="19" ht="15" spans="1:7">
      <c r="A19" s="76">
        <v>3</v>
      </c>
      <c r="B19" s="51" t="s">
        <v>33</v>
      </c>
      <c r="C19" s="77" t="str">
        <f>C9</f>
        <v>CCT PB000387/2020</v>
      </c>
      <c r="D19" s="79">
        <v>1089.81</v>
      </c>
      <c r="E19" s="51"/>
      <c r="F19" s="51"/>
      <c r="G19" s="51"/>
    </row>
    <row r="20" ht="15" spans="1:7">
      <c r="A20" s="76">
        <v>4</v>
      </c>
      <c r="B20" s="51" t="s">
        <v>34</v>
      </c>
      <c r="C20" s="77" t="str">
        <f>C9</f>
        <v>CCT PB000387/2020</v>
      </c>
      <c r="D20" s="80" t="s">
        <v>35</v>
      </c>
      <c r="E20" s="51"/>
      <c r="F20" s="51"/>
      <c r="G20" s="51"/>
    </row>
    <row r="21" ht="15" spans="1:7">
      <c r="A21" s="76">
        <v>5</v>
      </c>
      <c r="B21" s="51" t="s">
        <v>36</v>
      </c>
      <c r="C21" s="77" t="str">
        <f>C9</f>
        <v>CCT PB000387/2020</v>
      </c>
      <c r="D21" s="81" t="s">
        <v>37</v>
      </c>
      <c r="E21" s="51"/>
      <c r="F21" s="51"/>
      <c r="G21" s="51"/>
    </row>
    <row r="22" ht="15" spans="1:7">
      <c r="A22" s="51"/>
      <c r="B22" s="51"/>
      <c r="C22" s="51"/>
      <c r="D22" s="51"/>
      <c r="E22" s="51"/>
      <c r="F22" s="75"/>
      <c r="G22" s="75"/>
    </row>
    <row r="23" ht="15" spans="1:7">
      <c r="A23" s="59" t="s">
        <v>38</v>
      </c>
      <c r="B23" s="59"/>
      <c r="C23" s="59"/>
      <c r="D23" s="59"/>
      <c r="E23" s="51"/>
      <c r="F23" s="51"/>
      <c r="G23" s="51"/>
    </row>
    <row r="24" ht="15" spans="1:7">
      <c r="A24" s="76" t="s">
        <v>39</v>
      </c>
      <c r="B24" s="82" t="s">
        <v>40</v>
      </c>
      <c r="C24" s="76" t="s">
        <v>26</v>
      </c>
      <c r="D24" s="76" t="s">
        <v>27</v>
      </c>
      <c r="E24" s="51"/>
      <c r="F24" s="51"/>
      <c r="G24" s="83"/>
    </row>
    <row r="25" ht="15" spans="1:7">
      <c r="A25" s="76" t="s">
        <v>5</v>
      </c>
      <c r="B25" s="51" t="s">
        <v>41</v>
      </c>
      <c r="C25" s="80" t="s">
        <v>29</v>
      </c>
      <c r="D25" s="79">
        <f>D19</f>
        <v>1089.81</v>
      </c>
      <c r="E25" s="51"/>
      <c r="F25" s="51"/>
      <c r="G25" s="83"/>
    </row>
    <row r="26" ht="15" spans="1:7">
      <c r="A26" s="76" t="s">
        <v>8</v>
      </c>
      <c r="B26" s="51" t="s">
        <v>42</v>
      </c>
      <c r="C26" s="80"/>
      <c r="D26" s="79">
        <f>TRUNC($D$25*30%,2)</f>
        <v>326.94</v>
      </c>
      <c r="E26" s="51"/>
      <c r="F26" s="51"/>
      <c r="G26" s="83"/>
    </row>
    <row r="27" ht="15" spans="1:7">
      <c r="A27" s="76" t="s">
        <v>11</v>
      </c>
      <c r="B27" s="51" t="s">
        <v>43</v>
      </c>
      <c r="C27" s="80"/>
      <c r="D27" s="79">
        <v>0</v>
      </c>
      <c r="E27" s="51"/>
      <c r="F27" s="51"/>
      <c r="G27" s="51"/>
    </row>
    <row r="28" ht="15" spans="1:7">
      <c r="A28" s="76" t="s">
        <v>44</v>
      </c>
      <c r="B28" s="51" t="s">
        <v>45</v>
      </c>
      <c r="C28" s="80"/>
      <c r="D28" s="79">
        <f>TRUNC(((8*(365/12))*(((D25+D26)/220)*20%)/2),2)</f>
        <v>156.7</v>
      </c>
      <c r="E28" s="51"/>
      <c r="F28" s="51"/>
      <c r="G28" s="51"/>
    </row>
    <row r="29" ht="15" spans="1:7">
      <c r="A29" s="76" t="s">
        <v>14</v>
      </c>
      <c r="B29" s="51" t="s">
        <v>46</v>
      </c>
      <c r="C29" s="80"/>
      <c r="D29" s="79">
        <f>TRUNC(((1*(365/12))*(((D25+D26)/220))/2),2)</f>
        <v>97.93</v>
      </c>
      <c r="E29" s="51"/>
      <c r="F29" s="51"/>
      <c r="G29" s="51"/>
    </row>
    <row r="30" ht="15" spans="1:7">
      <c r="A30" s="76" t="s">
        <v>47</v>
      </c>
      <c r="B30" s="51" t="s">
        <v>48</v>
      </c>
      <c r="C30" s="80"/>
      <c r="D30" s="79">
        <v>0</v>
      </c>
      <c r="E30" s="51"/>
      <c r="F30" s="51"/>
      <c r="G30" s="51"/>
    </row>
    <row r="31" ht="15" spans="1:7">
      <c r="A31" s="76" t="s">
        <v>49</v>
      </c>
      <c r="B31" s="51"/>
      <c r="C31" s="76"/>
      <c r="D31" s="84">
        <f>TRUNC((SUM(D25:D30)),2)</f>
        <v>1671.38</v>
      </c>
      <c r="E31" s="51"/>
      <c r="F31" s="75"/>
      <c r="G31" s="75"/>
    </row>
    <row r="32" ht="15" spans="1:7">
      <c r="A32" s="51"/>
      <c r="B32" s="51"/>
      <c r="C32" s="51"/>
      <c r="D32" s="51"/>
      <c r="E32" s="51"/>
      <c r="F32" s="51"/>
      <c r="G32" s="51"/>
    </row>
    <row r="33" ht="15" spans="1:7">
      <c r="A33" s="85" t="s">
        <v>50</v>
      </c>
      <c r="B33" s="85"/>
      <c r="C33" s="85"/>
      <c r="D33" s="85"/>
      <c r="E33" s="51"/>
      <c r="F33" s="51"/>
      <c r="G33" s="83"/>
    </row>
    <row r="34" ht="15" spans="1:7">
      <c r="A34" s="51"/>
      <c r="B34" s="51"/>
      <c r="C34" s="51"/>
      <c r="D34" s="51"/>
      <c r="E34" s="51"/>
      <c r="F34" s="51"/>
      <c r="G34" s="51"/>
    </row>
    <row r="35" ht="15" spans="1:7">
      <c r="A35" s="75" t="s">
        <v>51</v>
      </c>
      <c r="B35" s="75"/>
      <c r="C35" s="75"/>
      <c r="D35" s="75"/>
      <c r="E35" s="51"/>
      <c r="F35" s="51"/>
      <c r="G35" s="51"/>
    </row>
    <row r="36" ht="15" spans="1:7">
      <c r="A36" s="76" t="s">
        <v>52</v>
      </c>
      <c r="B36" s="82" t="s">
        <v>53</v>
      </c>
      <c r="C36" s="76" t="s">
        <v>54</v>
      </c>
      <c r="D36" s="76" t="s">
        <v>27</v>
      </c>
      <c r="E36" s="51"/>
      <c r="F36" s="51"/>
      <c r="G36" s="51"/>
    </row>
    <row r="37" ht="15" spans="1:7">
      <c r="A37" s="76" t="s">
        <v>5</v>
      </c>
      <c r="B37" s="51" t="s">
        <v>55</v>
      </c>
      <c r="C37" s="86">
        <f>(1/12)</f>
        <v>0.0833333333333333</v>
      </c>
      <c r="D37" s="84">
        <f>TRUNC($D$31*C37,2)</f>
        <v>139.28</v>
      </c>
      <c r="E37" s="51"/>
      <c r="F37" s="51"/>
      <c r="G37" s="51"/>
    </row>
    <row r="38" ht="15" spans="1:7">
      <c r="A38" s="76" t="s">
        <v>8</v>
      </c>
      <c r="B38" s="51" t="s">
        <v>56</v>
      </c>
      <c r="C38" s="86">
        <f>(((1+1/3)/12))</f>
        <v>0.111111111111111</v>
      </c>
      <c r="D38" s="84">
        <f>TRUNC($D$31*C38,2)</f>
        <v>185.7</v>
      </c>
      <c r="E38" s="51"/>
      <c r="F38" s="51"/>
      <c r="G38" s="51"/>
    </row>
    <row r="39" ht="15" spans="1:7">
      <c r="A39" s="76" t="s">
        <v>49</v>
      </c>
      <c r="B39" s="51"/>
      <c r="C39" s="51"/>
      <c r="D39" s="84">
        <f>TRUNC((SUM(D37:D38)),2)</f>
        <v>324.98</v>
      </c>
      <c r="E39" s="51"/>
      <c r="F39" s="51"/>
      <c r="G39" s="51"/>
    </row>
    <row r="40" ht="15.75" spans="1:7">
      <c r="A40" s="51"/>
      <c r="B40" s="51"/>
      <c r="C40" s="51"/>
      <c r="D40" s="84"/>
      <c r="E40" s="51"/>
      <c r="F40" s="51"/>
      <c r="G40" s="51"/>
    </row>
    <row r="41" ht="16.5" spans="1:7">
      <c r="A41" s="87" t="s">
        <v>57</v>
      </c>
      <c r="B41" s="87"/>
      <c r="C41" s="88" t="s">
        <v>58</v>
      </c>
      <c r="D41" s="89">
        <f>D31</f>
        <v>1671.38</v>
      </c>
      <c r="E41" s="51"/>
      <c r="F41" s="51"/>
      <c r="G41" s="51"/>
    </row>
    <row r="42" ht="16.5" spans="1:7">
      <c r="A42" s="87"/>
      <c r="B42" s="87"/>
      <c r="C42" s="90" t="s">
        <v>59</v>
      </c>
      <c r="D42" s="89">
        <f>D39</f>
        <v>324.98</v>
      </c>
      <c r="E42" s="51"/>
      <c r="F42" s="51"/>
      <c r="G42" s="51"/>
    </row>
    <row r="43" ht="16.5" spans="1:7">
      <c r="A43" s="87"/>
      <c r="B43" s="87"/>
      <c r="C43" s="88" t="s">
        <v>60</v>
      </c>
      <c r="D43" s="91">
        <f>TRUNC(SUM(D41:D42),2)</f>
        <v>1996.36</v>
      </c>
      <c r="E43" s="51"/>
      <c r="F43" s="51"/>
      <c r="G43" s="51"/>
    </row>
    <row r="44" ht="15.75" spans="1:7">
      <c r="A44" s="76"/>
      <c r="B44" s="51"/>
      <c r="C44" s="92"/>
      <c r="D44" s="84"/>
      <c r="E44" s="51"/>
      <c r="F44" s="51"/>
      <c r="G44" s="51"/>
    </row>
    <row r="45" ht="15" spans="1:7">
      <c r="A45" s="75" t="s">
        <v>61</v>
      </c>
      <c r="B45" s="75"/>
      <c r="C45" s="75"/>
      <c r="D45" s="75"/>
      <c r="E45" s="51"/>
      <c r="F45" s="51"/>
      <c r="G45" s="51"/>
    </row>
    <row r="46" ht="15" spans="1:7">
      <c r="A46" s="76" t="s">
        <v>62</v>
      </c>
      <c r="B46" s="82" t="s">
        <v>63</v>
      </c>
      <c r="C46" s="76" t="s">
        <v>54</v>
      </c>
      <c r="D46" s="76" t="s">
        <v>64</v>
      </c>
      <c r="E46" s="51"/>
      <c r="F46" s="51"/>
      <c r="G46" s="51"/>
    </row>
    <row r="47" ht="15" spans="1:7">
      <c r="A47" s="76" t="s">
        <v>5</v>
      </c>
      <c r="B47" s="51" t="s">
        <v>65</v>
      </c>
      <c r="C47" s="86">
        <v>0.2</v>
      </c>
      <c r="D47" s="93">
        <f>TRUNC(($D$43*C47),2)</f>
        <v>399.27</v>
      </c>
      <c r="E47" s="51"/>
      <c r="F47" s="51"/>
      <c r="G47" s="51"/>
    </row>
    <row r="48" ht="15" spans="1:7">
      <c r="A48" s="76" t="s">
        <v>8</v>
      </c>
      <c r="B48" s="51" t="s">
        <v>66</v>
      </c>
      <c r="C48" s="86">
        <v>0.025</v>
      </c>
      <c r="D48" s="93">
        <f t="shared" ref="D47:D54" si="0">TRUNC(($D$43*C48),2)</f>
        <v>49.9</v>
      </c>
      <c r="E48" s="51"/>
      <c r="F48" s="51"/>
      <c r="G48" s="51"/>
    </row>
    <row r="49" ht="15" spans="1:7">
      <c r="A49" s="76" t="s">
        <v>11</v>
      </c>
      <c r="B49" s="51" t="s">
        <v>67</v>
      </c>
      <c r="C49" s="94">
        <v>0.06</v>
      </c>
      <c r="D49" s="93">
        <f t="shared" si="0"/>
        <v>119.78</v>
      </c>
      <c r="E49" s="51"/>
      <c r="F49" s="51"/>
      <c r="G49" s="51"/>
    </row>
    <row r="50" ht="15" spans="1:7">
      <c r="A50" s="76" t="s">
        <v>44</v>
      </c>
      <c r="B50" s="51" t="s">
        <v>68</v>
      </c>
      <c r="C50" s="86">
        <v>0.015</v>
      </c>
      <c r="D50" s="93">
        <f t="shared" si="0"/>
        <v>29.94</v>
      </c>
      <c r="E50" s="51"/>
      <c r="F50" s="51"/>
      <c r="G50" s="51"/>
    </row>
    <row r="51" ht="15" spans="1:7">
      <c r="A51" s="76" t="s">
        <v>14</v>
      </c>
      <c r="B51" s="51" t="s">
        <v>69</v>
      </c>
      <c r="C51" s="86">
        <v>0.01</v>
      </c>
      <c r="D51" s="93">
        <f t="shared" si="0"/>
        <v>19.96</v>
      </c>
      <c r="E51" s="51"/>
      <c r="F51" s="51"/>
      <c r="G51" s="51"/>
    </row>
    <row r="52" ht="15" spans="1:7">
      <c r="A52" s="76" t="s">
        <v>47</v>
      </c>
      <c r="B52" s="51" t="s">
        <v>70</v>
      </c>
      <c r="C52" s="86">
        <v>0.006</v>
      </c>
      <c r="D52" s="93">
        <f t="shared" si="0"/>
        <v>11.97</v>
      </c>
      <c r="E52" s="51"/>
      <c r="F52" s="51"/>
      <c r="G52" s="51"/>
    </row>
    <row r="53" ht="15" spans="1:7">
      <c r="A53" s="76" t="s">
        <v>71</v>
      </c>
      <c r="B53" s="51" t="s">
        <v>72</v>
      </c>
      <c r="C53" s="86">
        <v>0.002</v>
      </c>
      <c r="D53" s="93">
        <f t="shared" si="0"/>
        <v>3.99</v>
      </c>
      <c r="E53" s="51"/>
      <c r="F53" s="51"/>
      <c r="G53" s="51"/>
    </row>
    <row r="54" ht="15" spans="1:7">
      <c r="A54" s="76" t="s">
        <v>73</v>
      </c>
      <c r="B54" s="51" t="s">
        <v>74</v>
      </c>
      <c r="C54" s="86">
        <v>0.08</v>
      </c>
      <c r="D54" s="93">
        <f t="shared" si="0"/>
        <v>159.7</v>
      </c>
      <c r="E54" s="51"/>
      <c r="F54" s="51"/>
      <c r="G54" s="51"/>
    </row>
    <row r="55" ht="15" spans="1:7">
      <c r="A55" s="76" t="s">
        <v>49</v>
      </c>
      <c r="B55" s="51"/>
      <c r="C55" s="92">
        <f>SUM(C47:C54)</f>
        <v>0.398</v>
      </c>
      <c r="D55" s="84">
        <f>TRUNC((SUM(D47:D54)),2)</f>
        <v>794.51</v>
      </c>
      <c r="E55" s="51"/>
      <c r="F55" s="51"/>
      <c r="G55" s="51"/>
    </row>
    <row r="56" ht="15" spans="1:7">
      <c r="A56" s="76"/>
      <c r="B56" s="51"/>
      <c r="C56" s="92"/>
      <c r="D56" s="84"/>
      <c r="E56" s="51"/>
      <c r="F56" s="51"/>
      <c r="G56" s="51"/>
    </row>
    <row r="57" ht="15" spans="1:7">
      <c r="A57" s="75" t="s">
        <v>75</v>
      </c>
      <c r="B57" s="75"/>
      <c r="C57" s="75"/>
      <c r="D57" s="75"/>
      <c r="E57" s="51"/>
      <c r="F57" s="51"/>
      <c r="G57" s="51"/>
    </row>
    <row r="58" ht="15" spans="1:7">
      <c r="A58" s="76" t="s">
        <v>76</v>
      </c>
      <c r="B58" s="82" t="s">
        <v>77</v>
      </c>
      <c r="C58" s="76" t="s">
        <v>26</v>
      </c>
      <c r="D58" s="76" t="s">
        <v>27</v>
      </c>
      <c r="E58" s="51"/>
      <c r="F58" s="51"/>
      <c r="G58" s="51"/>
    </row>
    <row r="59" ht="15" spans="1:7">
      <c r="A59" s="76" t="s">
        <v>5</v>
      </c>
      <c r="B59" s="51" t="s">
        <v>78</v>
      </c>
      <c r="C59" s="77"/>
      <c r="D59" s="95">
        <v>0</v>
      </c>
      <c r="E59" s="51"/>
      <c r="F59" s="51"/>
      <c r="G59" s="51"/>
    </row>
    <row r="60" ht="15" spans="1:7">
      <c r="A60" s="76" t="s">
        <v>8</v>
      </c>
      <c r="B60" s="51" t="s">
        <v>79</v>
      </c>
      <c r="C60" s="77" t="str">
        <f>C9</f>
        <v>CCT PB000387/2020</v>
      </c>
      <c r="D60" s="79">
        <f>TRUNC((((22*18))-(((22*18))*0.2)),2)</f>
        <v>316.8</v>
      </c>
      <c r="E60" s="51"/>
      <c r="F60" s="51"/>
      <c r="G60" s="51"/>
    </row>
    <row r="61" ht="15" spans="1:7">
      <c r="A61" s="76" t="s">
        <v>11</v>
      </c>
      <c r="B61" s="51" t="s">
        <v>80</v>
      </c>
      <c r="C61" s="77"/>
      <c r="D61" s="79">
        <v>0</v>
      </c>
      <c r="E61" s="51"/>
      <c r="F61" s="51"/>
      <c r="G61" s="51"/>
    </row>
    <row r="62" ht="15" spans="1:7">
      <c r="A62" s="96" t="s">
        <v>44</v>
      </c>
      <c r="B62" s="97" t="s">
        <v>81</v>
      </c>
      <c r="C62" s="98"/>
      <c r="D62" s="98">
        <f>TRUNC(((((($D$25+$D$26+$D$28+$D$29)/220)*1.5)*(365/12))/2),2)</f>
        <v>173.31</v>
      </c>
      <c r="E62" s="51"/>
      <c r="F62" s="97"/>
      <c r="G62" s="51"/>
    </row>
    <row r="63" ht="15" spans="1:7">
      <c r="A63" s="76" t="s">
        <v>14</v>
      </c>
      <c r="B63" s="82" t="s">
        <v>82</v>
      </c>
      <c r="C63" s="77"/>
      <c r="D63" s="79">
        <v>0</v>
      </c>
      <c r="E63" s="51"/>
      <c r="F63" s="51"/>
      <c r="G63" s="51"/>
    </row>
    <row r="64" ht="15" spans="1:7">
      <c r="A64" s="76" t="s">
        <v>47</v>
      </c>
      <c r="B64" s="99" t="s">
        <v>83</v>
      </c>
      <c r="C64" s="98"/>
      <c r="D64" s="79">
        <v>0</v>
      </c>
      <c r="E64" s="51"/>
      <c r="F64" s="51"/>
      <c r="G64" s="51"/>
    </row>
    <row r="65" ht="15" spans="1:7">
      <c r="A65" s="76" t="s">
        <v>49</v>
      </c>
      <c r="B65" s="51"/>
      <c r="C65" s="51"/>
      <c r="D65" s="84">
        <f>TRUNC((SUM(D59:D64)),2)</f>
        <v>490.11</v>
      </c>
      <c r="E65" s="51"/>
      <c r="F65" s="51"/>
      <c r="G65" s="51"/>
    </row>
    <row r="66" ht="15" spans="1:7">
      <c r="A66" s="76"/>
      <c r="B66" s="51"/>
      <c r="C66" s="51"/>
      <c r="D66" s="84"/>
      <c r="E66" s="51"/>
      <c r="F66" s="51"/>
      <c r="G66" s="51"/>
    </row>
    <row r="67" ht="15" spans="1:7">
      <c r="A67" s="75" t="s">
        <v>84</v>
      </c>
      <c r="B67" s="75"/>
      <c r="C67" s="75"/>
      <c r="D67" s="75"/>
      <c r="E67" s="51"/>
      <c r="F67" s="51"/>
      <c r="G67" s="51"/>
    </row>
    <row r="68" ht="15" spans="1:7">
      <c r="A68" s="76" t="s">
        <v>85</v>
      </c>
      <c r="B68" s="82" t="s">
        <v>86</v>
      </c>
      <c r="C68" s="76" t="s">
        <v>26</v>
      </c>
      <c r="D68" s="76" t="s">
        <v>27</v>
      </c>
      <c r="E68" s="51"/>
      <c r="F68" s="51"/>
      <c r="G68" s="51"/>
    </row>
    <row r="69" ht="15" spans="1:7">
      <c r="A69" s="76" t="s">
        <v>52</v>
      </c>
      <c r="B69" s="51" t="s">
        <v>53</v>
      </c>
      <c r="C69" s="76"/>
      <c r="D69" s="84">
        <f>D39</f>
        <v>324.98</v>
      </c>
      <c r="E69" s="51"/>
      <c r="F69" s="51"/>
      <c r="G69" s="51"/>
    </row>
    <row r="70" ht="15" spans="1:7">
      <c r="A70" s="76" t="s">
        <v>62</v>
      </c>
      <c r="B70" s="51" t="s">
        <v>63</v>
      </c>
      <c r="C70" s="76"/>
      <c r="D70" s="84">
        <f>D55</f>
        <v>794.51</v>
      </c>
      <c r="E70" s="51"/>
      <c r="F70" s="51"/>
      <c r="G70" s="51"/>
    </row>
    <row r="71" ht="15" spans="1:7">
      <c r="A71" s="76" t="s">
        <v>76</v>
      </c>
      <c r="B71" s="51" t="s">
        <v>77</v>
      </c>
      <c r="C71" s="76"/>
      <c r="D71" s="84">
        <f>D65</f>
        <v>490.11</v>
      </c>
      <c r="E71" s="51"/>
      <c r="F71" s="51"/>
      <c r="G71" s="51"/>
    </row>
    <row r="72" ht="15" spans="1:7">
      <c r="A72" s="76" t="s">
        <v>49</v>
      </c>
      <c r="B72" s="51"/>
      <c r="C72" s="76"/>
      <c r="D72" s="84">
        <f>TRUNC((SUM(D69:D71)),2)</f>
        <v>1609.6</v>
      </c>
      <c r="E72" s="51"/>
      <c r="F72" s="51"/>
      <c r="G72" s="51"/>
    </row>
    <row r="73" ht="15" spans="1:7">
      <c r="A73" s="51"/>
      <c r="B73" s="51"/>
      <c r="C73" s="51"/>
      <c r="D73" s="51"/>
      <c r="E73" s="51"/>
      <c r="F73" s="51"/>
      <c r="G73" s="51"/>
    </row>
    <row r="74" ht="15" spans="1:7">
      <c r="A74" s="59" t="s">
        <v>87</v>
      </c>
      <c r="B74" s="59"/>
      <c r="C74" s="59"/>
      <c r="D74" s="59"/>
      <c r="E74" s="51"/>
      <c r="F74" s="51"/>
      <c r="G74" s="51"/>
    </row>
    <row r="75" ht="15" spans="1:7">
      <c r="A75" s="76" t="s">
        <v>88</v>
      </c>
      <c r="B75" s="82" t="s">
        <v>89</v>
      </c>
      <c r="C75" s="76" t="s">
        <v>54</v>
      </c>
      <c r="D75" s="76" t="s">
        <v>27</v>
      </c>
      <c r="E75" s="51"/>
      <c r="F75" s="51"/>
      <c r="G75" s="51"/>
    </row>
    <row r="76" ht="15" spans="1:7">
      <c r="A76" s="76" t="s">
        <v>5</v>
      </c>
      <c r="B76" s="51" t="s">
        <v>90</v>
      </c>
      <c r="C76" s="94">
        <f>((1/12)*5%)</f>
        <v>0.00416666666666667</v>
      </c>
      <c r="D76" s="79">
        <f>TRUNC(($D$31*C76),2)</f>
        <v>6.96</v>
      </c>
      <c r="E76" s="51"/>
      <c r="F76" s="51"/>
      <c r="G76" s="51"/>
    </row>
    <row r="77" ht="15" spans="1:7">
      <c r="A77" s="76" t="s">
        <v>8</v>
      </c>
      <c r="B77" s="51" t="s">
        <v>91</v>
      </c>
      <c r="C77" s="100">
        <v>0.08</v>
      </c>
      <c r="D77" s="84">
        <f>TRUNC(($D$76*C77),2)</f>
        <v>0.55</v>
      </c>
      <c r="E77" s="51"/>
      <c r="F77" s="51"/>
      <c r="G77" s="51"/>
    </row>
    <row r="78" ht="30" spans="1:7">
      <c r="A78" s="76" t="s">
        <v>11</v>
      </c>
      <c r="B78" s="101" t="s">
        <v>92</v>
      </c>
      <c r="C78" s="102">
        <f>(0.08*0.4*0.05)</f>
        <v>0.0016</v>
      </c>
      <c r="D78" s="98">
        <f t="shared" ref="D76:D79" si="1">TRUNC(($D$31*C78),2)</f>
        <v>2.67</v>
      </c>
      <c r="E78" s="51"/>
      <c r="F78" s="51"/>
      <c r="G78" s="51"/>
    </row>
    <row r="79" ht="15" spans="1:7">
      <c r="A79" s="76" t="s">
        <v>44</v>
      </c>
      <c r="B79" s="51" t="s">
        <v>93</v>
      </c>
      <c r="C79" s="103">
        <f>(((7/30)/12)*0.95)</f>
        <v>0.0184722222222222</v>
      </c>
      <c r="D79" s="104">
        <f t="shared" si="1"/>
        <v>30.87</v>
      </c>
      <c r="E79" s="51"/>
      <c r="F79" s="51"/>
      <c r="G79" s="51"/>
    </row>
    <row r="80" ht="30" spans="1:7">
      <c r="A80" s="76" t="s">
        <v>14</v>
      </c>
      <c r="B80" s="101" t="s">
        <v>94</v>
      </c>
      <c r="C80" s="102">
        <f>C55</f>
        <v>0.398</v>
      </c>
      <c r="D80" s="98">
        <f>TRUNC(($D$79*C80),2)</f>
        <v>12.28</v>
      </c>
      <c r="E80" s="51"/>
      <c r="F80" s="51"/>
      <c r="G80" s="51"/>
    </row>
    <row r="81" ht="30" spans="1:7">
      <c r="A81" s="76" t="s">
        <v>47</v>
      </c>
      <c r="B81" s="101" t="s">
        <v>95</v>
      </c>
      <c r="C81" s="102">
        <f>(0.08*0.4*0.95)</f>
        <v>0.0304</v>
      </c>
      <c r="D81" s="98">
        <f>TRUNC(($D$31*C81),2)</f>
        <v>50.8</v>
      </c>
      <c r="E81" s="51"/>
      <c r="F81" s="51"/>
      <c r="G81" s="51"/>
    </row>
    <row r="82" ht="15" spans="1:7">
      <c r="A82" s="76" t="s">
        <v>49</v>
      </c>
      <c r="B82" s="51"/>
      <c r="C82" s="100">
        <f>SUM(C76:C81)</f>
        <v>0.532638888888889</v>
      </c>
      <c r="D82" s="84">
        <f>TRUNC((SUM(D76:D81)),2)</f>
        <v>104.13</v>
      </c>
      <c r="E82" s="51"/>
      <c r="F82" s="51"/>
      <c r="G82" s="51"/>
    </row>
    <row r="83" ht="15.75" spans="1:7">
      <c r="A83" s="76"/>
      <c r="B83" s="51"/>
      <c r="C83" s="51"/>
      <c r="D83" s="84"/>
      <c r="E83" s="51"/>
      <c r="F83" s="51"/>
      <c r="G83" s="51"/>
    </row>
    <row r="84" ht="16.5" spans="1:7">
      <c r="A84" s="87" t="s">
        <v>96</v>
      </c>
      <c r="B84" s="87"/>
      <c r="C84" s="88" t="s">
        <v>58</v>
      </c>
      <c r="D84" s="89">
        <f>D31</f>
        <v>1671.38</v>
      </c>
      <c r="E84" s="51"/>
      <c r="F84" s="51"/>
      <c r="G84" s="51"/>
    </row>
    <row r="85" ht="16.5" spans="1:7">
      <c r="A85" s="87"/>
      <c r="B85" s="87"/>
      <c r="C85" s="90" t="s">
        <v>97</v>
      </c>
      <c r="D85" s="89">
        <f>D72</f>
        <v>1609.6</v>
      </c>
      <c r="E85" s="51"/>
      <c r="F85" s="51"/>
      <c r="G85" s="51"/>
    </row>
    <row r="86" ht="16.5" spans="1:7">
      <c r="A86" s="87"/>
      <c r="B86" s="87"/>
      <c r="C86" s="88" t="s">
        <v>98</v>
      </c>
      <c r="D86" s="89">
        <f>D82</f>
        <v>104.13</v>
      </c>
      <c r="E86" s="51"/>
      <c r="F86" s="51"/>
      <c r="G86" s="51"/>
    </row>
    <row r="87" ht="16.5" spans="1:7">
      <c r="A87" s="87"/>
      <c r="B87" s="87"/>
      <c r="C87" s="90" t="s">
        <v>60</v>
      </c>
      <c r="D87" s="91">
        <f>TRUNC((SUM(D84:D86)),2)</f>
        <v>3385.11</v>
      </c>
      <c r="E87" s="51"/>
      <c r="F87" s="51"/>
      <c r="G87" s="51"/>
    </row>
    <row r="88" ht="15.75" spans="1:7">
      <c r="A88" s="76"/>
      <c r="B88" s="51"/>
      <c r="C88" s="51"/>
      <c r="D88" s="84"/>
      <c r="E88" s="51"/>
      <c r="F88" s="51"/>
      <c r="G88" s="51"/>
    </row>
    <row r="89" ht="15" spans="1:7">
      <c r="A89" s="105" t="s">
        <v>99</v>
      </c>
      <c r="B89" s="105"/>
      <c r="C89" s="105"/>
      <c r="D89" s="105"/>
      <c r="E89" s="51"/>
      <c r="F89" s="51"/>
      <c r="G89" s="51"/>
    </row>
    <row r="90" ht="15" spans="1:7">
      <c r="A90" s="75" t="s">
        <v>100</v>
      </c>
      <c r="B90" s="75"/>
      <c r="C90" s="75"/>
      <c r="D90" s="75"/>
      <c r="E90" s="51"/>
      <c r="F90" s="51"/>
      <c r="G90" s="51"/>
    </row>
    <row r="91" ht="15" spans="1:7">
      <c r="A91" s="76" t="s">
        <v>101</v>
      </c>
      <c r="B91" s="82" t="s">
        <v>102</v>
      </c>
      <c r="C91" s="76" t="s">
        <v>54</v>
      </c>
      <c r="D91" s="76" t="s">
        <v>27</v>
      </c>
      <c r="E91" s="51"/>
      <c r="F91" s="51"/>
      <c r="G91" s="51"/>
    </row>
    <row r="92" ht="15" spans="1:7">
      <c r="A92" s="76" t="s">
        <v>5</v>
      </c>
      <c r="B92" s="51" t="s">
        <v>103</v>
      </c>
      <c r="C92" s="100">
        <f>(((1+1/3)/12)/12)+((1/12)/12)</f>
        <v>0.0162037037037037</v>
      </c>
      <c r="D92" s="84">
        <f t="shared" ref="D92:D96" si="2">TRUNC(($D$87*C92),2)</f>
        <v>54.85</v>
      </c>
      <c r="E92" s="51"/>
      <c r="F92" s="51"/>
      <c r="G92" s="51"/>
    </row>
    <row r="93" ht="15" spans="1:7">
      <c r="A93" s="76" t="s">
        <v>8</v>
      </c>
      <c r="B93" s="51" t="s">
        <v>104</v>
      </c>
      <c r="C93" s="94">
        <f>((2/30)/12)</f>
        <v>0.00555555555555556</v>
      </c>
      <c r="D93" s="98">
        <f t="shared" si="2"/>
        <v>18.8</v>
      </c>
      <c r="E93" s="51"/>
      <c r="F93" s="51"/>
      <c r="G93" s="51"/>
    </row>
    <row r="94" ht="15" spans="1:7">
      <c r="A94" s="76" t="s">
        <v>11</v>
      </c>
      <c r="B94" s="51" t="s">
        <v>105</v>
      </c>
      <c r="C94" s="94">
        <f>((5/30)/12)*0.02</f>
        <v>0.000277777777777778</v>
      </c>
      <c r="D94" s="98">
        <f t="shared" si="2"/>
        <v>0.94</v>
      </c>
      <c r="E94" s="51"/>
      <c r="F94" s="51"/>
      <c r="G94" s="51"/>
    </row>
    <row r="95" ht="30" spans="1:7">
      <c r="A95" s="96" t="s">
        <v>44</v>
      </c>
      <c r="B95" s="101" t="s">
        <v>106</v>
      </c>
      <c r="C95" s="102">
        <f>((15/30)/12)*0.08</f>
        <v>0.00333333333333333</v>
      </c>
      <c r="D95" s="98">
        <f t="shared" si="2"/>
        <v>11.28</v>
      </c>
      <c r="E95" s="51"/>
      <c r="F95" s="51"/>
      <c r="G95" s="51"/>
    </row>
    <row r="96" ht="15" spans="1:7">
      <c r="A96" s="76" t="s">
        <v>14</v>
      </c>
      <c r="B96" s="51" t="s">
        <v>107</v>
      </c>
      <c r="C96" s="94">
        <f>((1+1/3)/12)*0.03*((4/12))</f>
        <v>0.00111111111111111</v>
      </c>
      <c r="D96" s="98">
        <f t="shared" si="2"/>
        <v>3.76</v>
      </c>
      <c r="E96" s="51"/>
      <c r="F96" s="51"/>
      <c r="G96" s="51"/>
    </row>
    <row r="97" ht="30" spans="1:7">
      <c r="A97" s="76" t="s">
        <v>47</v>
      </c>
      <c r="B97" s="101" t="s">
        <v>108</v>
      </c>
      <c r="C97" s="106">
        <v>0</v>
      </c>
      <c r="D97" s="98">
        <f>TRUNC($D$87*C97)</f>
        <v>0</v>
      </c>
      <c r="E97" s="51"/>
      <c r="F97" s="51"/>
      <c r="G97" s="51"/>
    </row>
    <row r="98" ht="15" spans="1:7">
      <c r="A98" s="76" t="s">
        <v>49</v>
      </c>
      <c r="B98" s="51"/>
      <c r="C98" s="100">
        <f>SUM(C92:C97)</f>
        <v>0.0264814814814815</v>
      </c>
      <c r="D98" s="84">
        <f>TRUNC((SUM(D92:D97)),2)</f>
        <v>89.63</v>
      </c>
      <c r="E98" s="51"/>
      <c r="F98" s="51"/>
      <c r="G98" s="51"/>
    </row>
    <row r="99" ht="15" spans="1:7">
      <c r="A99" s="76"/>
      <c r="B99" s="51"/>
      <c r="C99" s="76"/>
      <c r="D99" s="84"/>
      <c r="E99" s="51"/>
      <c r="F99" s="51"/>
      <c r="G99" s="51"/>
    </row>
    <row r="100" ht="15" spans="1:7">
      <c r="A100" s="75" t="s">
        <v>109</v>
      </c>
      <c r="B100" s="75"/>
      <c r="C100" s="75"/>
      <c r="D100" s="75"/>
      <c r="E100" s="51"/>
      <c r="F100" s="51"/>
      <c r="G100" s="51"/>
    </row>
    <row r="101" ht="15" spans="1:7">
      <c r="A101" s="76" t="s">
        <v>110</v>
      </c>
      <c r="B101" s="82" t="s">
        <v>111</v>
      </c>
      <c r="C101" s="76" t="s">
        <v>26</v>
      </c>
      <c r="D101" s="76" t="s">
        <v>27</v>
      </c>
      <c r="E101" s="51"/>
      <c r="F101" s="51"/>
      <c r="G101" s="51"/>
    </row>
    <row r="102" ht="90" spans="1:7">
      <c r="A102" s="96" t="s">
        <v>5</v>
      </c>
      <c r="B102" s="107" t="s">
        <v>112</v>
      </c>
      <c r="C102" s="108" t="s">
        <v>113</v>
      </c>
      <c r="D102" s="109" t="s">
        <v>114</v>
      </c>
      <c r="E102" s="51"/>
      <c r="F102" s="51"/>
      <c r="G102" s="51"/>
    </row>
    <row r="103" ht="15" spans="1:7">
      <c r="A103" s="76" t="s">
        <v>49</v>
      </c>
      <c r="B103" s="51"/>
      <c r="C103" s="76"/>
      <c r="D103" s="110" t="str">
        <f>D102</f>
        <v>*=TRUNCAR(($D$86/220)*(1*(365/12))/2)</v>
      </c>
      <c r="E103" s="51"/>
      <c r="F103" s="51"/>
      <c r="G103" s="51"/>
    </row>
    <row r="104" ht="15" spans="1:7">
      <c r="A104" s="51"/>
      <c r="B104" s="51"/>
      <c r="C104" s="51"/>
      <c r="D104" s="51"/>
      <c r="E104" s="51"/>
      <c r="F104" s="51"/>
      <c r="G104" s="51"/>
    </row>
    <row r="105" ht="15" spans="1:7">
      <c r="A105" s="75" t="s">
        <v>115</v>
      </c>
      <c r="B105" s="75"/>
      <c r="C105" s="75"/>
      <c r="D105" s="75"/>
      <c r="E105" s="51"/>
      <c r="F105" s="51"/>
      <c r="G105" s="51"/>
    </row>
    <row r="106" ht="15" spans="1:7">
      <c r="A106" s="76" t="s">
        <v>116</v>
      </c>
      <c r="B106" s="82" t="s">
        <v>117</v>
      </c>
      <c r="C106" s="76" t="s">
        <v>26</v>
      </c>
      <c r="D106" s="76" t="s">
        <v>27</v>
      </c>
      <c r="E106" s="51"/>
      <c r="F106" s="51"/>
      <c r="G106" s="51"/>
    </row>
    <row r="107" ht="15" spans="1:7">
      <c r="A107" s="76" t="s">
        <v>101</v>
      </c>
      <c r="B107" s="51" t="s">
        <v>102</v>
      </c>
      <c r="C107" s="51"/>
      <c r="D107" s="79">
        <f>D98</f>
        <v>89.63</v>
      </c>
      <c r="E107" s="51"/>
      <c r="F107" s="51"/>
      <c r="G107" s="51"/>
    </row>
    <row r="108" ht="15" spans="1:7">
      <c r="A108" s="76" t="s">
        <v>110</v>
      </c>
      <c r="B108" s="51" t="s">
        <v>118</v>
      </c>
      <c r="C108" s="82"/>
      <c r="D108" s="111" t="str">
        <f>Submódulo4.260_55[[#Totals],[Valor]]</f>
        <v>*=TRUNCAR(($D$86/220)*(1*(365/12))/2)</v>
      </c>
      <c r="E108" s="51"/>
      <c r="F108" s="51"/>
      <c r="G108" s="51"/>
    </row>
    <row r="109" ht="60" spans="1:7">
      <c r="A109" s="96" t="s">
        <v>49</v>
      </c>
      <c r="B109" s="97"/>
      <c r="C109" s="108" t="s">
        <v>119</v>
      </c>
      <c r="D109" s="112">
        <f>TRUNC((SUM(D107:D108)),2)</f>
        <v>89.63</v>
      </c>
      <c r="E109" s="51"/>
      <c r="F109" s="51"/>
      <c r="G109" s="51"/>
    </row>
    <row r="110" ht="15" spans="1:7">
      <c r="A110" s="51"/>
      <c r="B110" s="51"/>
      <c r="C110" s="51"/>
      <c r="D110" s="51"/>
      <c r="E110" s="51"/>
      <c r="F110" s="51"/>
      <c r="G110" s="51"/>
    </row>
    <row r="111" ht="15" spans="1:7">
      <c r="A111" s="59" t="s">
        <v>120</v>
      </c>
      <c r="B111" s="59"/>
      <c r="C111" s="59"/>
      <c r="D111" s="59"/>
      <c r="E111" s="51"/>
      <c r="F111" s="51"/>
      <c r="G111" s="51"/>
    </row>
    <row r="112" ht="15" spans="1:7">
      <c r="A112" s="96" t="s">
        <v>121</v>
      </c>
      <c r="B112" s="97" t="s">
        <v>122</v>
      </c>
      <c r="C112" s="96" t="s">
        <v>26</v>
      </c>
      <c r="D112" s="96" t="s">
        <v>27</v>
      </c>
      <c r="E112" s="51"/>
      <c r="F112" s="51"/>
      <c r="G112" s="51"/>
    </row>
    <row r="113" ht="15" spans="1:7">
      <c r="A113" s="76" t="s">
        <v>5</v>
      </c>
      <c r="B113" s="51" t="s">
        <v>123</v>
      </c>
      <c r="C113" s="51"/>
      <c r="D113" s="113">
        <f>Uniforme!G12</f>
        <v>138.04</v>
      </c>
      <c r="E113" s="51"/>
      <c r="F113" s="51"/>
      <c r="G113" s="51"/>
    </row>
    <row r="114" ht="15" spans="1:7">
      <c r="A114" s="76" t="s">
        <v>8</v>
      </c>
      <c r="B114" s="51" t="s">
        <v>124</v>
      </c>
      <c r="C114" s="51"/>
      <c r="D114" s="79">
        <v>0</v>
      </c>
      <c r="E114" s="51"/>
      <c r="F114" s="51"/>
      <c r="G114" s="51"/>
    </row>
    <row r="115" ht="15" spans="1:7">
      <c r="A115" s="76" t="s">
        <v>11</v>
      </c>
      <c r="B115" s="51" t="s">
        <v>125</v>
      </c>
      <c r="C115" s="51"/>
      <c r="D115" s="113">
        <f>'Materiais e Equipamentos'!G6</f>
        <v>4.75</v>
      </c>
      <c r="E115" s="51"/>
      <c r="F115" s="51"/>
      <c r="G115" s="51"/>
    </row>
    <row r="116" ht="15" spans="1:7">
      <c r="A116" s="76" t="s">
        <v>44</v>
      </c>
      <c r="B116" s="51" t="s">
        <v>126</v>
      </c>
      <c r="C116" s="51"/>
      <c r="D116" s="79">
        <f>'Materiais e Equipamentos'!F21</f>
        <v>99.8</v>
      </c>
      <c r="E116" s="51"/>
      <c r="F116" s="51"/>
      <c r="G116" s="51"/>
    </row>
    <row r="117" ht="15" spans="1:7">
      <c r="A117" s="76" t="s">
        <v>14</v>
      </c>
      <c r="B117" s="51" t="s">
        <v>127</v>
      </c>
      <c r="C117" s="51"/>
      <c r="D117" s="79">
        <f>H116</f>
        <v>0</v>
      </c>
      <c r="E117" s="51"/>
      <c r="F117" s="51"/>
      <c r="G117" s="51"/>
    </row>
    <row r="118" ht="15" spans="1:7">
      <c r="A118" s="76" t="s">
        <v>49</v>
      </c>
      <c r="B118" s="51"/>
      <c r="C118" s="51"/>
      <c r="D118" s="84">
        <f>TRUNC(SUM(D113:D117),2)</f>
        <v>242.59</v>
      </c>
      <c r="E118" s="51"/>
      <c r="F118" s="51"/>
      <c r="G118" s="51"/>
    </row>
    <row r="119" ht="15.75" spans="1:7">
      <c r="A119" s="51"/>
      <c r="B119" s="51"/>
      <c r="C119" s="51"/>
      <c r="D119" s="51"/>
      <c r="E119" s="51"/>
      <c r="F119" s="51"/>
      <c r="G119" s="51"/>
    </row>
    <row r="120" ht="16.5" spans="1:7">
      <c r="A120" s="87" t="s">
        <v>128</v>
      </c>
      <c r="B120" s="87"/>
      <c r="C120" s="88" t="s">
        <v>58</v>
      </c>
      <c r="D120" s="89">
        <f>D31</f>
        <v>1671.38</v>
      </c>
      <c r="E120" s="51"/>
      <c r="F120" s="51"/>
      <c r="G120" s="51"/>
    </row>
    <row r="121" ht="16.5" spans="1:7">
      <c r="A121" s="87"/>
      <c r="B121" s="87"/>
      <c r="C121" s="90" t="s">
        <v>97</v>
      </c>
      <c r="D121" s="89">
        <f>D72</f>
        <v>1609.6</v>
      </c>
      <c r="E121" s="51"/>
      <c r="F121" s="51"/>
      <c r="G121" s="51"/>
    </row>
    <row r="122" ht="16.5" spans="1:7">
      <c r="A122" s="87"/>
      <c r="B122" s="87"/>
      <c r="C122" s="88" t="s">
        <v>98</v>
      </c>
      <c r="D122" s="89">
        <f>D82</f>
        <v>104.13</v>
      </c>
      <c r="E122" s="51"/>
      <c r="F122" s="51"/>
      <c r="G122" s="51"/>
    </row>
    <row r="123" ht="16.5" spans="1:7">
      <c r="A123" s="87"/>
      <c r="B123" s="87"/>
      <c r="C123" s="90" t="s">
        <v>129</v>
      </c>
      <c r="D123" s="89">
        <f>D109</f>
        <v>89.63</v>
      </c>
      <c r="E123" s="51"/>
      <c r="F123" s="51"/>
      <c r="G123" s="51"/>
    </row>
    <row r="124" ht="16.5" spans="1:7">
      <c r="A124" s="87"/>
      <c r="B124" s="87"/>
      <c r="C124" s="88" t="s">
        <v>130</v>
      </c>
      <c r="D124" s="89">
        <f>D118</f>
        <v>242.59</v>
      </c>
      <c r="E124" s="51"/>
      <c r="F124" s="51"/>
      <c r="G124" s="51"/>
    </row>
    <row r="125" ht="16.5" spans="1:7">
      <c r="A125" s="87"/>
      <c r="B125" s="87"/>
      <c r="C125" s="90" t="s">
        <v>60</v>
      </c>
      <c r="D125" s="91">
        <f>TRUNC((SUM(D120:D124)),2)</f>
        <v>3717.33</v>
      </c>
      <c r="E125" s="51"/>
      <c r="F125" s="51"/>
      <c r="G125" s="51"/>
    </row>
    <row r="126" ht="15.75" spans="1:7">
      <c r="A126" s="51"/>
      <c r="B126" s="51"/>
      <c r="C126" s="51"/>
      <c r="D126" s="51"/>
      <c r="E126" s="51"/>
      <c r="F126" s="51"/>
      <c r="G126" s="51"/>
    </row>
    <row r="127" ht="15" spans="1:7">
      <c r="A127" s="59" t="s">
        <v>131</v>
      </c>
      <c r="B127" s="59"/>
      <c r="C127" s="59"/>
      <c r="D127" s="59"/>
      <c r="E127" s="51"/>
      <c r="F127" s="51"/>
      <c r="G127" s="51"/>
    </row>
    <row r="128" ht="15.75" spans="1:7">
      <c r="A128" s="76" t="s">
        <v>132</v>
      </c>
      <c r="B128" s="51" t="s">
        <v>133</v>
      </c>
      <c r="C128" s="76" t="s">
        <v>54</v>
      </c>
      <c r="D128" s="76" t="s">
        <v>27</v>
      </c>
      <c r="E128" s="51"/>
      <c r="F128" s="114" t="s">
        <v>134</v>
      </c>
      <c r="G128" s="114"/>
    </row>
    <row r="129" ht="15.75" spans="1:7">
      <c r="A129" s="76" t="s">
        <v>5</v>
      </c>
      <c r="B129" s="51" t="s">
        <v>135</v>
      </c>
      <c r="C129" s="115">
        <v>0.044</v>
      </c>
      <c r="D129" s="113">
        <f>TRUNC(($D$125*C129),2)</f>
        <v>163.56</v>
      </c>
      <c r="E129" s="51"/>
      <c r="F129" s="116" t="s">
        <v>136</v>
      </c>
      <c r="G129" s="102">
        <f>C131</f>
        <v>0.0865</v>
      </c>
    </row>
    <row r="130" ht="15.75" spans="1:7">
      <c r="A130" s="76" t="s">
        <v>8</v>
      </c>
      <c r="B130" s="51" t="s">
        <v>137</v>
      </c>
      <c r="C130" s="115">
        <v>0.0413</v>
      </c>
      <c r="D130" s="113">
        <f>TRUNC((C130*(D125+D129)),2)</f>
        <v>160.28</v>
      </c>
      <c r="E130" s="51"/>
      <c r="F130" s="117" t="s">
        <v>138</v>
      </c>
      <c r="G130" s="118">
        <f>TRUNC(SUM(D125,D129,D130),2)</f>
        <v>4041.17</v>
      </c>
    </row>
    <row r="131" ht="15.75" spans="1:7">
      <c r="A131" s="76" t="s">
        <v>11</v>
      </c>
      <c r="B131" s="51" t="s">
        <v>139</v>
      </c>
      <c r="C131" s="94">
        <f>SUM(C132:C134)</f>
        <v>0.0865</v>
      </c>
      <c r="D131" s="79">
        <f>TRUNC((SUM(D132:D134)),2)</f>
        <v>382.65</v>
      </c>
      <c r="E131" s="51"/>
      <c r="F131" s="116" t="s">
        <v>140</v>
      </c>
      <c r="G131" s="119">
        <f>(100-8.65)/100</f>
        <v>0.9135</v>
      </c>
    </row>
    <row r="132" ht="15.75" spans="1:7">
      <c r="A132" s="76"/>
      <c r="B132" s="51" t="s">
        <v>141</v>
      </c>
      <c r="C132" s="94">
        <v>0.0065</v>
      </c>
      <c r="D132" s="79">
        <f>TRUNC(($G$132*C132),2)</f>
        <v>28.75</v>
      </c>
      <c r="E132" s="51"/>
      <c r="F132" s="117" t="s">
        <v>134</v>
      </c>
      <c r="G132" s="118">
        <f>TRUNC((G130/G131),2)</f>
        <v>4423.83</v>
      </c>
    </row>
    <row r="133" ht="15.75" spans="1:7">
      <c r="A133" s="76"/>
      <c r="B133" s="51" t="s">
        <v>142</v>
      </c>
      <c r="C133" s="94">
        <v>0.03</v>
      </c>
      <c r="D133" s="79">
        <f t="shared" ref="D132:D134" si="3">TRUNC(($G$132*C133),2)</f>
        <v>132.71</v>
      </c>
      <c r="E133" s="51"/>
      <c r="F133" s="51"/>
      <c r="G133" s="51"/>
    </row>
    <row r="134" ht="15" spans="1:7">
      <c r="A134" s="76"/>
      <c r="B134" s="51" t="s">
        <v>143</v>
      </c>
      <c r="C134" s="94">
        <v>0.05</v>
      </c>
      <c r="D134" s="79">
        <f t="shared" si="3"/>
        <v>221.19</v>
      </c>
      <c r="E134" s="51"/>
      <c r="F134" s="51"/>
      <c r="G134" s="51"/>
    </row>
    <row r="135" ht="15" spans="1:7">
      <c r="A135" s="76" t="s">
        <v>49</v>
      </c>
      <c r="B135" s="51"/>
      <c r="C135" s="120"/>
      <c r="D135" s="84">
        <f>TRUNC(SUM(D129:D131),2)</f>
        <v>706.49</v>
      </c>
      <c r="E135" s="51"/>
      <c r="F135" s="51"/>
      <c r="G135" s="51"/>
    </row>
    <row r="136" ht="15" spans="1:7">
      <c r="A136" s="76"/>
      <c r="B136" s="51"/>
      <c r="C136" s="120"/>
      <c r="D136" s="84"/>
      <c r="E136" s="51"/>
      <c r="F136" s="51"/>
      <c r="G136" s="51"/>
    </row>
    <row r="137" ht="15" spans="1:7">
      <c r="A137" s="51"/>
      <c r="B137" s="51"/>
      <c r="C137" s="51"/>
      <c r="D137" s="51"/>
      <c r="E137" s="51"/>
      <c r="F137" s="51"/>
      <c r="G137" s="51"/>
    </row>
    <row r="138" ht="15" spans="1:7">
      <c r="A138" s="59" t="s">
        <v>144</v>
      </c>
      <c r="B138" s="59"/>
      <c r="C138" s="59"/>
      <c r="D138" s="59"/>
      <c r="E138" s="51"/>
      <c r="F138" s="51"/>
      <c r="G138" s="51"/>
    </row>
    <row r="139" ht="15" spans="1:7">
      <c r="A139" s="76" t="s">
        <v>24</v>
      </c>
      <c r="B139" s="76" t="s">
        <v>145</v>
      </c>
      <c r="C139" s="76" t="s">
        <v>29</v>
      </c>
      <c r="D139" s="76" t="s">
        <v>27</v>
      </c>
      <c r="E139" s="51"/>
      <c r="F139" s="51"/>
      <c r="G139" s="51"/>
    </row>
    <row r="140" ht="15" spans="1:7">
      <c r="A140" s="76" t="s">
        <v>5</v>
      </c>
      <c r="B140" s="51" t="s">
        <v>38</v>
      </c>
      <c r="C140" s="51"/>
      <c r="D140" s="84">
        <f>D31</f>
        <v>1671.38</v>
      </c>
      <c r="E140" s="51"/>
      <c r="F140" s="51"/>
      <c r="G140" s="51"/>
    </row>
    <row r="141" ht="15" spans="1:7">
      <c r="A141" s="76" t="s">
        <v>8</v>
      </c>
      <c r="B141" s="51" t="s">
        <v>50</v>
      </c>
      <c r="C141" s="51"/>
      <c r="D141" s="84">
        <f>D72</f>
        <v>1609.6</v>
      </c>
      <c r="E141" s="51"/>
      <c r="F141" s="51"/>
      <c r="G141" s="51"/>
    </row>
    <row r="142" ht="15" spans="1:7">
      <c r="A142" s="76" t="s">
        <v>11</v>
      </c>
      <c r="B142" s="51" t="s">
        <v>87</v>
      </c>
      <c r="C142" s="51"/>
      <c r="D142" s="84">
        <f>D82</f>
        <v>104.13</v>
      </c>
      <c r="E142" s="51"/>
      <c r="F142" s="51"/>
      <c r="G142" s="51"/>
    </row>
    <row r="143" ht="15" spans="1:7">
      <c r="A143" s="76" t="s">
        <v>44</v>
      </c>
      <c r="B143" s="51" t="s">
        <v>146</v>
      </c>
      <c r="C143" s="51"/>
      <c r="D143" s="84">
        <f>D109</f>
        <v>89.63</v>
      </c>
      <c r="E143" s="51"/>
      <c r="F143" s="51"/>
      <c r="G143" s="51"/>
    </row>
    <row r="144" ht="15" spans="1:7">
      <c r="A144" s="76" t="s">
        <v>14</v>
      </c>
      <c r="B144" s="51" t="s">
        <v>120</v>
      </c>
      <c r="C144" s="51"/>
      <c r="D144" s="84">
        <f>D118</f>
        <v>242.59</v>
      </c>
      <c r="E144" s="51"/>
      <c r="F144" s="51"/>
      <c r="G144" s="51"/>
    </row>
    <row r="145" ht="15" spans="1:7">
      <c r="A145" s="51"/>
      <c r="B145" s="121" t="s">
        <v>147</v>
      </c>
      <c r="C145" s="51"/>
      <c r="D145" s="84">
        <f>TRUNC(SUM(D140:D144),2)</f>
        <v>3717.33</v>
      </c>
      <c r="E145" s="51"/>
      <c r="F145" s="51"/>
      <c r="G145" s="51"/>
    </row>
    <row r="146" ht="15" spans="1:7">
      <c r="A146" s="76" t="s">
        <v>47</v>
      </c>
      <c r="B146" s="51" t="s">
        <v>131</v>
      </c>
      <c r="C146" s="51"/>
      <c r="D146" s="84">
        <f>D135</f>
        <v>706.49</v>
      </c>
      <c r="E146" s="51"/>
      <c r="F146" s="51"/>
      <c r="G146" s="51"/>
    </row>
    <row r="147" ht="15" spans="1:7">
      <c r="A147" s="122"/>
      <c r="B147" s="123" t="s">
        <v>148</v>
      </c>
      <c r="C147" s="122"/>
      <c r="D147" s="124">
        <f>TRUNC((SUM(D140:D144)+D146),2)</f>
        <v>4423.82</v>
      </c>
      <c r="E147" s="51"/>
      <c r="F147" s="51"/>
      <c r="G147" s="51"/>
    </row>
    <row r="148" ht="15" spans="1:7">
      <c r="A148" s="125"/>
      <c r="B148" s="126" t="s">
        <v>149</v>
      </c>
      <c r="C148" s="125"/>
      <c r="D148" s="127">
        <f>TRUNC(D147*2,2)</f>
        <v>8847.64</v>
      </c>
      <c r="E148" s="51"/>
      <c r="F148" s="51"/>
      <c r="G148" s="51"/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opLeftCell="A6" workbookViewId="0">
      <selection activeCell="E22" sqref="E22"/>
    </sheetView>
  </sheetViews>
  <sheetFormatPr defaultColWidth="9.14285714285714" defaultRowHeight="12.75" outlineLevelCol="7"/>
  <cols>
    <col min="2" max="2" width="19.5714285714286" customWidth="1"/>
    <col min="3" max="3" width="35.8571428571429" customWidth="1"/>
    <col min="4" max="4" width="11.4285714285714" customWidth="1"/>
    <col min="5" max="5" width="12.8571428571429" customWidth="1"/>
    <col min="6" max="6" width="13" customWidth="1"/>
    <col min="7" max="7" width="13.2857142857143" customWidth="1"/>
    <col min="8" max="8" width="12.2857142857143" customWidth="1"/>
  </cols>
  <sheetData>
    <row r="1" ht="15" spans="1:8">
      <c r="A1" s="37" t="s">
        <v>150</v>
      </c>
      <c r="B1" s="38"/>
      <c r="C1" s="37"/>
      <c r="D1" s="39"/>
      <c r="E1" s="37"/>
      <c r="F1" s="37"/>
      <c r="G1" s="37"/>
      <c r="H1" s="37"/>
    </row>
    <row r="2" ht="15" spans="1:8">
      <c r="A2" s="40" t="s">
        <v>151</v>
      </c>
      <c r="B2" s="41"/>
      <c r="C2" s="40"/>
      <c r="D2" s="42"/>
      <c r="E2" s="40"/>
      <c r="F2" s="40"/>
      <c r="G2" s="40"/>
      <c r="H2" s="40"/>
    </row>
    <row r="3" ht="60" spans="1:8">
      <c r="A3" s="43" t="s">
        <v>152</v>
      </c>
      <c r="B3" s="43" t="s">
        <v>153</v>
      </c>
      <c r="C3" s="43" t="s">
        <v>154</v>
      </c>
      <c r="D3" s="43" t="s">
        <v>155</v>
      </c>
      <c r="E3" s="43" t="s">
        <v>156</v>
      </c>
      <c r="F3" s="43" t="s">
        <v>157</v>
      </c>
      <c r="G3" s="43" t="s">
        <v>158</v>
      </c>
      <c r="H3" s="43" t="s">
        <v>159</v>
      </c>
    </row>
    <row r="4" ht="60" spans="1:8">
      <c r="A4" s="44">
        <v>1</v>
      </c>
      <c r="B4" s="45" t="s">
        <v>160</v>
      </c>
      <c r="C4" s="46" t="s">
        <v>161</v>
      </c>
      <c r="D4" s="45" t="s">
        <v>162</v>
      </c>
      <c r="E4" s="47">
        <v>62.9</v>
      </c>
      <c r="F4" s="45">
        <v>4</v>
      </c>
      <c r="G4" s="48">
        <f>TRUNC(F4*E4,2)</f>
        <v>251.6</v>
      </c>
      <c r="H4" s="48">
        <f>TRUNC(G4/12,2)</f>
        <v>20.96</v>
      </c>
    </row>
    <row r="5" ht="75" spans="1:8">
      <c r="A5" s="44">
        <v>2</v>
      </c>
      <c r="B5" s="45" t="s">
        <v>163</v>
      </c>
      <c r="C5" s="46" t="s">
        <v>164</v>
      </c>
      <c r="D5" s="45" t="s">
        <v>162</v>
      </c>
      <c r="E5" s="47">
        <v>180</v>
      </c>
      <c r="F5" s="45">
        <v>2</v>
      </c>
      <c r="G5" s="48">
        <f t="shared" ref="G5:G11" si="0">TRUNC(F5*E5,2)</f>
        <v>360</v>
      </c>
      <c r="H5" s="48">
        <f t="shared" ref="H5:H11" si="1">TRUNC(G5/12,2)</f>
        <v>30</v>
      </c>
    </row>
    <row r="6" ht="105" spans="1:8">
      <c r="A6" s="44">
        <v>3</v>
      </c>
      <c r="B6" s="45" t="s">
        <v>165</v>
      </c>
      <c r="C6" s="46" t="s">
        <v>166</v>
      </c>
      <c r="D6" s="45" t="s">
        <v>162</v>
      </c>
      <c r="E6" s="47">
        <v>66.98</v>
      </c>
      <c r="F6" s="45">
        <v>4</v>
      </c>
      <c r="G6" s="48">
        <f t="shared" si="0"/>
        <v>267.92</v>
      </c>
      <c r="H6" s="48">
        <f t="shared" si="1"/>
        <v>22.32</v>
      </c>
    </row>
    <row r="7" ht="105" spans="1:8">
      <c r="A7" s="44">
        <v>4</v>
      </c>
      <c r="B7" s="45" t="s">
        <v>167</v>
      </c>
      <c r="C7" s="46" t="s">
        <v>168</v>
      </c>
      <c r="D7" s="45" t="s">
        <v>169</v>
      </c>
      <c r="E7" s="47">
        <v>220</v>
      </c>
      <c r="F7" s="45">
        <v>2</v>
      </c>
      <c r="G7" s="48">
        <f t="shared" si="0"/>
        <v>440</v>
      </c>
      <c r="H7" s="48">
        <f t="shared" si="1"/>
        <v>36.66</v>
      </c>
    </row>
    <row r="8" ht="60" spans="1:8">
      <c r="A8" s="44">
        <v>5</v>
      </c>
      <c r="B8" s="45" t="s">
        <v>170</v>
      </c>
      <c r="C8" s="46" t="s">
        <v>171</v>
      </c>
      <c r="D8" s="45" t="s">
        <v>162</v>
      </c>
      <c r="E8" s="47">
        <v>31.27</v>
      </c>
      <c r="F8" s="45">
        <v>2</v>
      </c>
      <c r="G8" s="48">
        <f t="shared" si="0"/>
        <v>62.54</v>
      </c>
      <c r="H8" s="48">
        <f t="shared" si="1"/>
        <v>5.21</v>
      </c>
    </row>
    <row r="9" ht="45" spans="1:8">
      <c r="A9" s="44">
        <v>6</v>
      </c>
      <c r="B9" s="45" t="s">
        <v>172</v>
      </c>
      <c r="C9" s="46" t="s">
        <v>173</v>
      </c>
      <c r="D9" s="45" t="s">
        <v>169</v>
      </c>
      <c r="E9" s="47">
        <v>8.82</v>
      </c>
      <c r="F9" s="45">
        <v>4</v>
      </c>
      <c r="G9" s="48">
        <f t="shared" si="0"/>
        <v>35.28</v>
      </c>
      <c r="H9" s="48">
        <f t="shared" si="1"/>
        <v>2.94</v>
      </c>
    </row>
    <row r="10" ht="30" spans="1:8">
      <c r="A10" s="44">
        <v>7</v>
      </c>
      <c r="B10" s="45" t="s">
        <v>174</v>
      </c>
      <c r="C10" s="46" t="s">
        <v>175</v>
      </c>
      <c r="D10" s="45" t="s">
        <v>162</v>
      </c>
      <c r="E10" s="47">
        <v>116.82</v>
      </c>
      <c r="F10" s="45">
        <v>2</v>
      </c>
      <c r="G10" s="48">
        <f t="shared" si="0"/>
        <v>233.64</v>
      </c>
      <c r="H10" s="48">
        <f t="shared" si="1"/>
        <v>19.47</v>
      </c>
    </row>
    <row r="11" ht="45" spans="1:8">
      <c r="A11" s="44">
        <v>8</v>
      </c>
      <c r="B11" s="45" t="s">
        <v>176</v>
      </c>
      <c r="C11" s="46" t="s">
        <v>177</v>
      </c>
      <c r="D11" s="45" t="s">
        <v>162</v>
      </c>
      <c r="E11" s="47">
        <v>5.8</v>
      </c>
      <c r="F11" s="45">
        <v>1</v>
      </c>
      <c r="G11" s="48">
        <f t="shared" si="0"/>
        <v>5.8</v>
      </c>
      <c r="H11" s="48">
        <f t="shared" si="1"/>
        <v>0.48</v>
      </c>
    </row>
    <row r="12" ht="15" spans="1:8">
      <c r="A12" s="49" t="s">
        <v>60</v>
      </c>
      <c r="B12" s="49"/>
      <c r="C12" s="49"/>
      <c r="D12" s="49"/>
      <c r="E12" s="49"/>
      <c r="F12" s="49"/>
      <c r="G12" s="50">
        <f>TRUNC(SUM(H4:H11),2)</f>
        <v>138.04</v>
      </c>
      <c r="H12" s="50"/>
    </row>
  </sheetData>
  <mergeCells count="4">
    <mergeCell ref="A1:H1"/>
    <mergeCell ref="A2:H2"/>
    <mergeCell ref="A12:F12"/>
    <mergeCell ref="G12:H12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opLeftCell="A13" workbookViewId="0">
      <selection activeCell="A1" sqref="A1:I33"/>
    </sheetView>
  </sheetViews>
  <sheetFormatPr defaultColWidth="9.14285714285714" defaultRowHeight="12.75" outlineLevelCol="6"/>
  <cols>
    <col min="1" max="1" width="11.1428571428571" customWidth="1"/>
    <col min="2" max="2" width="28.7142857142857" customWidth="1"/>
    <col min="3" max="3" width="28.1428571428571" customWidth="1"/>
    <col min="4" max="4" width="12.8571428571429" customWidth="1"/>
    <col min="5" max="5" width="12.2857142857143" customWidth="1"/>
    <col min="6" max="6" width="13.8571428571429" customWidth="1"/>
    <col min="7" max="7" width="13.7142857142857" customWidth="1"/>
  </cols>
  <sheetData>
    <row r="1" ht="15" spans="1:7">
      <c r="A1" s="11" t="s">
        <v>125</v>
      </c>
      <c r="B1" s="11"/>
      <c r="C1" s="11" t="s">
        <v>125</v>
      </c>
      <c r="D1" s="11"/>
      <c r="E1" s="11"/>
      <c r="F1" s="11"/>
      <c r="G1" s="11"/>
    </row>
    <row r="2" ht="60" spans="1:7">
      <c r="A2" s="7" t="s">
        <v>24</v>
      </c>
      <c r="B2" s="7" t="s">
        <v>178</v>
      </c>
      <c r="C2" s="7" t="s">
        <v>25</v>
      </c>
      <c r="D2" s="7" t="s">
        <v>179</v>
      </c>
      <c r="E2" s="7" t="s">
        <v>180</v>
      </c>
      <c r="F2" s="7" t="s">
        <v>181</v>
      </c>
      <c r="G2" s="7" t="s">
        <v>182</v>
      </c>
    </row>
    <row r="3" ht="60" spans="1:7">
      <c r="A3" s="4">
        <v>1</v>
      </c>
      <c r="B3" s="4" t="s">
        <v>183</v>
      </c>
      <c r="C3" s="12" t="s">
        <v>184</v>
      </c>
      <c r="D3" s="13">
        <v>64.34</v>
      </c>
      <c r="E3" s="14">
        <v>1</v>
      </c>
      <c r="F3" s="15">
        <f>Table43_2[[#This Row],[Quantidade Anual]]*Table43_2[[#This Row],[Valor Médio Unitário (R$)]]/2</f>
        <v>32.17</v>
      </c>
      <c r="G3" s="15">
        <f>Table43_2[[#This Row],[Valor Anual/ Empregado (R$)]]/12</f>
        <v>2.68083333333333</v>
      </c>
    </row>
    <row r="4" ht="90" spans="1:7">
      <c r="A4" s="4">
        <v>2</v>
      </c>
      <c r="B4" s="4" t="s">
        <v>185</v>
      </c>
      <c r="C4" s="12" t="s">
        <v>186</v>
      </c>
      <c r="D4" s="16">
        <v>1.44</v>
      </c>
      <c r="E4" s="14">
        <v>4</v>
      </c>
      <c r="F4" s="15">
        <f>Table43_2[[#This Row],[Quantidade Anual]]*Table43_2[[#This Row],[Valor Médio Unitário (R$)]]/2</f>
        <v>2.88</v>
      </c>
      <c r="G4" s="15">
        <f>Table43_2[[#This Row],[Valor Anual/ Empregado (R$)]]/12</f>
        <v>0.24</v>
      </c>
    </row>
    <row r="5" ht="60" spans="1:7">
      <c r="A5" s="4">
        <v>3</v>
      </c>
      <c r="B5" s="17" t="s">
        <v>187</v>
      </c>
      <c r="C5" s="12" t="s">
        <v>188</v>
      </c>
      <c r="D5" s="16">
        <v>43.9</v>
      </c>
      <c r="E5" s="14">
        <v>1</v>
      </c>
      <c r="F5" s="15">
        <f>Table43_2[[#This Row],[Quantidade Anual]]*Table43_2[[#This Row],[Valor Médio Unitário (R$)]]/2</f>
        <v>21.95</v>
      </c>
      <c r="G5" s="15">
        <f>Table43_2[[#This Row],[Valor Anual/ Empregado (R$)]]/12</f>
        <v>1.82916666666667</v>
      </c>
    </row>
    <row r="6" ht="15" spans="1:7">
      <c r="A6" s="18" t="s">
        <v>49</v>
      </c>
      <c r="B6" s="18"/>
      <c r="C6" s="18"/>
      <c r="D6" s="18"/>
      <c r="E6" s="18"/>
      <c r="F6" s="18"/>
      <c r="G6" s="19">
        <f>SUBTOTAL(109,Table43_2[Valor Mensal/ Empregado (R$)])</f>
        <v>4.75</v>
      </c>
    </row>
    <row r="9" ht="15" spans="1:6">
      <c r="A9" s="11" t="s">
        <v>126</v>
      </c>
      <c r="B9" s="11"/>
      <c r="C9" s="11"/>
      <c r="D9" s="11"/>
      <c r="E9" s="11"/>
      <c r="F9" s="11"/>
    </row>
    <row r="10" ht="37" customHeight="1" spans="1:6">
      <c r="A10" s="20" t="s">
        <v>24</v>
      </c>
      <c r="B10" s="20" t="s">
        <v>25</v>
      </c>
      <c r="C10" s="20" t="s">
        <v>162</v>
      </c>
      <c r="D10" s="20" t="s">
        <v>189</v>
      </c>
      <c r="E10" s="7" t="s">
        <v>190</v>
      </c>
      <c r="F10" s="20" t="s">
        <v>191</v>
      </c>
    </row>
    <row r="11" ht="15.75" spans="1:6">
      <c r="A11" s="21">
        <v>1</v>
      </c>
      <c r="B11" s="22" t="s">
        <v>192</v>
      </c>
      <c r="C11" s="5" t="s">
        <v>193</v>
      </c>
      <c r="D11" s="23">
        <v>5616.02</v>
      </c>
      <c r="E11" s="24">
        <v>1</v>
      </c>
      <c r="F11" s="25">
        <f>Table44[[#This Row],[Valor Médio Unitário]]*Table44[[#This Row],[Quantidade]]</f>
        <v>5616.02</v>
      </c>
    </row>
    <row r="12" ht="63" spans="1:6">
      <c r="A12" s="21">
        <v>2</v>
      </c>
      <c r="B12" s="22" t="s">
        <v>194</v>
      </c>
      <c r="C12" s="21" t="s">
        <v>193</v>
      </c>
      <c r="D12" s="23">
        <v>131.88</v>
      </c>
      <c r="E12" s="24">
        <v>1</v>
      </c>
      <c r="F12" s="25">
        <f>Table44[[#This Row],[Valor Médio Unitário]]*Table44[[#This Row],[Quantidade]]</f>
        <v>131.88</v>
      </c>
    </row>
    <row r="13" ht="47.25" spans="1:6">
      <c r="A13" s="21">
        <v>3</v>
      </c>
      <c r="B13" s="22" t="s">
        <v>195</v>
      </c>
      <c r="C13" s="21" t="s">
        <v>193</v>
      </c>
      <c r="D13" s="23">
        <v>50.29</v>
      </c>
      <c r="E13" s="24">
        <v>1</v>
      </c>
      <c r="F13" s="25">
        <f>Table44[[#This Row],[Valor Médio Unitário]]*Table44[[#This Row],[Quantidade]]</f>
        <v>50.29</v>
      </c>
    </row>
    <row r="14" ht="15.75" spans="1:6">
      <c r="A14" s="21">
        <v>4</v>
      </c>
      <c r="B14" s="22" t="s">
        <v>196</v>
      </c>
      <c r="C14" s="21" t="s">
        <v>193</v>
      </c>
      <c r="D14" s="23">
        <v>162.54</v>
      </c>
      <c r="E14" s="24">
        <v>1</v>
      </c>
      <c r="F14" s="25">
        <f>Table44[[#This Row],[Valor Médio Unitário]]*Table44[[#This Row],[Quantidade]]</f>
        <v>162.54</v>
      </c>
    </row>
    <row r="15" ht="31.5" spans="1:6">
      <c r="A15" s="21">
        <v>5</v>
      </c>
      <c r="B15" s="22" t="s">
        <v>197</v>
      </c>
      <c r="C15" s="21" t="s">
        <v>193</v>
      </c>
      <c r="D15" s="23">
        <v>1275.9</v>
      </c>
      <c r="E15" s="24">
        <v>1</v>
      </c>
      <c r="F15" s="25">
        <f>Table44[[#This Row],[Valor Médio Unitário]]*Table44[[#This Row],[Quantidade]]</f>
        <v>1275.9</v>
      </c>
    </row>
    <row r="16" ht="15.75" spans="1:6">
      <c r="A16" s="21">
        <v>6</v>
      </c>
      <c r="B16" s="22" t="s">
        <v>198</v>
      </c>
      <c r="C16" s="21" t="s">
        <v>193</v>
      </c>
      <c r="D16" s="23">
        <v>148.03</v>
      </c>
      <c r="E16" s="24">
        <v>1</v>
      </c>
      <c r="F16" s="25">
        <f>Table44[[#This Row],[Valor Médio Unitário]]*Table44[[#This Row],[Quantidade]]</f>
        <v>148.03</v>
      </c>
    </row>
    <row r="17" ht="78.75" spans="1:6">
      <c r="A17" s="21">
        <v>7</v>
      </c>
      <c r="B17" s="22" t="s">
        <v>199</v>
      </c>
      <c r="C17" s="21" t="s">
        <v>193</v>
      </c>
      <c r="D17" s="23">
        <v>100.34</v>
      </c>
      <c r="E17" s="26">
        <v>1</v>
      </c>
      <c r="F17" s="25">
        <f>Table44[[#This Row],[Valor Médio Unitário]]*Table44[[#This Row],[Quantidade]]</f>
        <v>100.34</v>
      </c>
    </row>
    <row r="18" ht="15" spans="1:6">
      <c r="A18" s="21" t="s">
        <v>49</v>
      </c>
      <c r="B18" s="27"/>
      <c r="C18" s="21"/>
      <c r="D18" s="21"/>
      <c r="E18" s="21"/>
      <c r="F18" s="25">
        <f>SUBTOTAL(109,Table44[Valor Total (R$)])</f>
        <v>7485</v>
      </c>
    </row>
    <row r="19" ht="15" spans="1:6">
      <c r="A19" s="28" t="s">
        <v>200</v>
      </c>
      <c r="B19" s="29"/>
      <c r="C19" s="29"/>
      <c r="D19" s="29"/>
      <c r="E19" s="30"/>
      <c r="F19" s="31">
        <f>Table44[[#Totals],[Valor Total (R$)]]*0.5%</f>
        <v>37.425</v>
      </c>
    </row>
    <row r="20" ht="15" spans="1:6">
      <c r="A20" s="32" t="s">
        <v>201</v>
      </c>
      <c r="B20" s="32"/>
      <c r="C20" s="32"/>
      <c r="D20" s="32"/>
      <c r="E20" s="32"/>
      <c r="F20" s="33">
        <f>Table44[[#Totals],[Valor Total (R$)]]*(1-0.2)/(12*8)</f>
        <v>62.375</v>
      </c>
    </row>
    <row r="21" ht="15" spans="1:6">
      <c r="A21" s="32" t="s">
        <v>202</v>
      </c>
      <c r="B21" s="32"/>
      <c r="C21" s="32"/>
      <c r="D21" s="32"/>
      <c r="E21" s="32"/>
      <c r="F21" s="33">
        <f>F19+F20</f>
        <v>99.8</v>
      </c>
    </row>
    <row r="22" ht="15" spans="1:6">
      <c r="A22" s="34"/>
      <c r="B22" s="34"/>
      <c r="C22" s="34"/>
      <c r="D22" s="34"/>
      <c r="E22" s="34"/>
      <c r="F22" s="34"/>
    </row>
    <row r="23" ht="41" customHeight="1" spans="1:6">
      <c r="A23" s="35" t="s">
        <v>203</v>
      </c>
      <c r="B23" s="36"/>
      <c r="C23" s="36"/>
      <c r="D23" s="36"/>
      <c r="E23" s="36"/>
      <c r="F23" s="36"/>
    </row>
    <row r="24" ht="20" customHeight="1" spans="1:6">
      <c r="A24" s="36"/>
      <c r="B24" s="36"/>
      <c r="C24" s="36"/>
      <c r="D24" s="36"/>
      <c r="E24" s="36"/>
      <c r="F24" s="36"/>
    </row>
    <row r="25" spans="1:6">
      <c r="A25" s="36"/>
      <c r="B25" s="36"/>
      <c r="C25" s="36"/>
      <c r="D25" s="36"/>
      <c r="E25" s="36"/>
      <c r="F25" s="36"/>
    </row>
    <row r="26" spans="1:6">
      <c r="A26" s="36"/>
      <c r="B26" s="36"/>
      <c r="C26" s="36"/>
      <c r="D26" s="36"/>
      <c r="E26" s="36"/>
      <c r="F26" s="36"/>
    </row>
    <row r="27" spans="1:6">
      <c r="A27" s="36"/>
      <c r="B27" s="36"/>
      <c r="C27" s="36"/>
      <c r="D27" s="36"/>
      <c r="E27" s="36"/>
      <c r="F27" s="36"/>
    </row>
    <row r="28" spans="1:6">
      <c r="A28" s="36"/>
      <c r="B28" s="36"/>
      <c r="C28" s="36"/>
      <c r="D28" s="36"/>
      <c r="E28" s="36"/>
      <c r="F28" s="36"/>
    </row>
    <row r="29" spans="1:6">
      <c r="A29" s="36"/>
      <c r="B29" s="36"/>
      <c r="C29" s="36"/>
      <c r="D29" s="36"/>
      <c r="E29" s="36"/>
      <c r="F29" s="36"/>
    </row>
    <row r="30" spans="1:6">
      <c r="A30" s="36"/>
      <c r="B30" s="36"/>
      <c r="C30" s="36"/>
      <c r="D30" s="36"/>
      <c r="E30" s="36"/>
      <c r="F30" s="36"/>
    </row>
    <row r="31" spans="1:6">
      <c r="A31" s="36"/>
      <c r="B31" s="36"/>
      <c r="C31" s="36"/>
      <c r="D31" s="36"/>
      <c r="E31" s="36"/>
      <c r="F31" s="36"/>
    </row>
    <row r="32" spans="1:6">
      <c r="A32" s="36"/>
      <c r="B32" s="36"/>
      <c r="C32" s="36"/>
      <c r="D32" s="36"/>
      <c r="E32" s="36"/>
      <c r="F32" s="36"/>
    </row>
  </sheetData>
  <mergeCells count="6">
    <mergeCell ref="A1:G1"/>
    <mergeCell ref="A9:F9"/>
    <mergeCell ref="A19:E19"/>
    <mergeCell ref="A20:E20"/>
    <mergeCell ref="A21:E21"/>
    <mergeCell ref="A23:F32"/>
  </mergeCells>
  <pageMargins left="0.75" right="0.75" top="1" bottom="1" header="0.5" footer="0.5"/>
  <pageSetup paperSize="9" orientation="landscape"/>
  <headerFooter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workbookViewId="0">
      <selection activeCell="A1" sqref="A1:G5"/>
    </sheetView>
  </sheetViews>
  <sheetFormatPr defaultColWidth="9.14285714285714" defaultRowHeight="12.75" outlineLevelRow="3" outlineLevelCol="6"/>
  <cols>
    <col min="1" max="1" width="12.5714285714286" customWidth="1"/>
    <col min="2" max="2" width="31" customWidth="1"/>
    <col min="3" max="3" width="12.2857142857143" customWidth="1"/>
    <col min="4" max="4" width="13.7142857142857" customWidth="1"/>
    <col min="5" max="5" width="13.5714285714286" customWidth="1"/>
    <col min="6" max="6" width="12.4285714285714" customWidth="1"/>
    <col min="7" max="7" width="14.2857142857143" customWidth="1"/>
  </cols>
  <sheetData>
    <row r="1" ht="15.75" spans="1:7">
      <c r="A1" s="1" t="s">
        <v>204</v>
      </c>
      <c r="B1" s="2"/>
      <c r="C1" s="2"/>
      <c r="D1" s="2"/>
      <c r="E1" s="2"/>
      <c r="F1" s="2"/>
      <c r="G1" s="3"/>
    </row>
    <row r="2" ht="60.75" spans="1:7">
      <c r="A2" s="4" t="s">
        <v>24</v>
      </c>
      <c r="B2" s="4" t="s">
        <v>25</v>
      </c>
      <c r="C2" s="4" t="s">
        <v>162</v>
      </c>
      <c r="D2" s="4" t="s">
        <v>190</v>
      </c>
      <c r="E2" s="4" t="s">
        <v>205</v>
      </c>
      <c r="F2" s="4" t="s">
        <v>206</v>
      </c>
      <c r="G2" s="4" t="s">
        <v>207</v>
      </c>
    </row>
    <row r="3" ht="135" spans="1:7">
      <c r="A3" s="5">
        <v>1</v>
      </c>
      <c r="B3" s="6" t="s">
        <v>208</v>
      </c>
      <c r="C3" s="7" t="s">
        <v>209</v>
      </c>
      <c r="D3" s="5">
        <v>1</v>
      </c>
      <c r="E3" s="5">
        <v>12</v>
      </c>
      <c r="F3" s="8">
        <f>Vigilante!D148</f>
        <v>8847.64</v>
      </c>
      <c r="G3" s="8">
        <f>(D3*F3)*(E3)</f>
        <v>106171.68</v>
      </c>
    </row>
    <row r="4" ht="15" spans="1:7">
      <c r="A4" s="9" t="s">
        <v>60</v>
      </c>
      <c r="B4" s="9"/>
      <c r="C4" s="9"/>
      <c r="D4" s="9"/>
      <c r="E4" s="9"/>
      <c r="F4" s="9"/>
      <c r="G4" s="10">
        <f>SUM(G3:G3)</f>
        <v>106171.68</v>
      </c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Vigilante</vt:lpstr>
      <vt:lpstr>Uniforme</vt:lpstr>
      <vt:lpstr>Materiais e 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IFPB</cp:lastModifiedBy>
  <dcterms:created xsi:type="dcterms:W3CDTF">2021-07-27T17:44:33Z</dcterms:created>
  <dcterms:modified xsi:type="dcterms:W3CDTF">2021-07-27T18:26:02Z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1046-11.2.0.10223</vt:lpwstr>
  </property>
</Properties>
</file>